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<sst xmlns="http://schemas.openxmlformats.org/spreadsheetml/2006/main" count="40" uniqueCount="10">
  <si>
    <t xml:space="preserve">附件1：2022年唐河县事业单位公开选聘工作人员笔试原始成绩 </t>
  </si>
  <si>
    <t>序号</t>
  </si>
  <si>
    <t>岗位代码</t>
  </si>
  <si>
    <t>姓名</t>
  </si>
  <si>
    <t>性别</t>
  </si>
  <si>
    <t>准考证号</t>
  </si>
  <si>
    <t>考场号</t>
  </si>
  <si>
    <t>座位号</t>
  </si>
  <si>
    <t>笔试原始成绩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</si>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</sst>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1"/>
  <sheetViews>
    <sheetView tabSelected="1" workbookViewId="0">
      <selection activeCell="A1" sqref="A1:H1"/>
    </sheetView>
  </sheetViews>
  <sheetFormatPr defaultColWidth="18.8833333333333" defaultRowHeight="24" customHeight="1" outlineLevelCol="7"/>
  <cols>
    <col min="1" max="1" width="11.25" style="3" customWidth="1"/>
    <col min="2" max="2" width="11.6666666666667" style="3" customWidth="1"/>
    <col min="3" max="3" width="11.2166666666667" style="3" customWidth="1"/>
    <col min="4" max="4" width="9.625" style="3" customWidth="1"/>
    <col min="5" max="5" width="12.625" style="3" customWidth="1"/>
    <col min="6" max="6" width="10.5" style="3" customWidth="1"/>
    <col min="7" max="7" width="10.625" style="3" customWidth="1"/>
    <col min="8" max="8" width="16.625" style="3" customWidth="1"/>
    <col min="9" max="16384" width="18.8833333333333" style="3"/>
  </cols>
  <sheetData>
    <row r="1" s="1" customFormat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2.95" customHeight="1" spans="1:8">
      <c r="A3" s="6">
        <v>1</v>
      </c>
      <c r="B3" s="7" t="str">
        <f t="shared" ref="B3:B66" si="0">"01"</f>
        <v>01</v>
      </c>
      <c r="C3" s="7" t="str">
        <f>"吕壮"</f>
        <v>吕壮</v>
      </c>
      <c r="D3" s="7" t="str">
        <f>"男"</f>
        <v>男</v>
      </c>
      <c r="E3" s="7" t="str">
        <f>"22020100101"</f>
        <v>22020100101</v>
      </c>
      <c r="F3" s="7" t="str">
        <f t="shared" ref="F3:F32" si="1">"001"</f>
        <v>001</v>
      </c>
      <c r="G3" s="7" t="str">
        <f>"01"</f>
        <v>01</v>
      </c>
      <c r="H3" s="7">
        <v>72.6</v>
      </c>
    </row>
    <row r="4" ht="22.95" customHeight="1" spans="1:8">
      <c r="A4" s="6">
        <v>2</v>
      </c>
      <c r="B4" s="7" t="str">
        <f t="shared" si="0"/>
        <v>01</v>
      </c>
      <c r="C4" s="7" t="str">
        <f>"李坦"</f>
        <v>李坦</v>
      </c>
      <c r="D4" s="7" t="str">
        <f>"女"</f>
        <v>女</v>
      </c>
      <c r="E4" s="7" t="str">
        <f>"22020100102"</f>
        <v>22020100102</v>
      </c>
      <c r="F4" s="7" t="str">
        <f t="shared" si="1"/>
        <v>001</v>
      </c>
      <c r="G4" s="7" t="str">
        <f>"02"</f>
        <v>02</v>
      </c>
      <c r="H4" s="7">
        <v>65</v>
      </c>
    </row>
    <row r="5" ht="22.95" customHeight="1" spans="1:8">
      <c r="A5" s="6">
        <v>3</v>
      </c>
      <c r="B5" s="7" t="str">
        <f t="shared" si="0"/>
        <v>01</v>
      </c>
      <c r="C5" s="7" t="str">
        <f>"董平升"</f>
        <v>董平升</v>
      </c>
      <c r="D5" s="7" t="str">
        <f t="shared" ref="D5:D12" si="2">"男"</f>
        <v>男</v>
      </c>
      <c r="E5" s="7" t="str">
        <f>"22020100103"</f>
        <v>22020100103</v>
      </c>
      <c r="F5" s="7" t="str">
        <f t="shared" si="1"/>
        <v>001</v>
      </c>
      <c r="G5" s="7" t="str">
        <f>"03"</f>
        <v>03</v>
      </c>
      <c r="H5" s="7">
        <v>55.6</v>
      </c>
    </row>
    <row r="6" ht="22.95" customHeight="1" spans="1:8">
      <c r="A6" s="6">
        <v>4</v>
      </c>
      <c r="B6" s="7" t="str">
        <f t="shared" si="0"/>
        <v>01</v>
      </c>
      <c r="C6" s="7" t="str">
        <f>"陈欣"</f>
        <v>陈欣</v>
      </c>
      <c r="D6" s="7" t="str">
        <f t="shared" si="2"/>
        <v>男</v>
      </c>
      <c r="E6" s="7" t="str">
        <f>"22020100104"</f>
        <v>22020100104</v>
      </c>
      <c r="F6" s="7" t="str">
        <f t="shared" si="1"/>
        <v>001</v>
      </c>
      <c r="G6" s="7" t="str">
        <f>"04"</f>
        <v>04</v>
      </c>
      <c r="H6" s="7">
        <v>66</v>
      </c>
    </row>
    <row r="7" ht="22.95" customHeight="1" spans="1:8">
      <c r="A7" s="6">
        <v>5</v>
      </c>
      <c r="B7" s="7" t="str">
        <f t="shared" si="0"/>
        <v>01</v>
      </c>
      <c r="C7" s="7" t="str">
        <f>"王威"</f>
        <v>王威</v>
      </c>
      <c r="D7" s="7" t="str">
        <f t="shared" si="2"/>
        <v>男</v>
      </c>
      <c r="E7" s="7" t="str">
        <f>"22020100105"</f>
        <v>22020100105</v>
      </c>
      <c r="F7" s="7" t="str">
        <f t="shared" si="1"/>
        <v>001</v>
      </c>
      <c r="G7" s="7" t="str">
        <f>"05"</f>
        <v>05</v>
      </c>
      <c r="H7" s="7">
        <v>76.6</v>
      </c>
    </row>
    <row r="8" ht="22.95" customHeight="1" spans="1:8">
      <c r="A8" s="6">
        <v>6</v>
      </c>
      <c r="B8" s="7" t="str">
        <f t="shared" si="0"/>
        <v>01</v>
      </c>
      <c r="C8" s="7" t="str">
        <f>"赵超"</f>
        <v>赵超</v>
      </c>
      <c r="D8" s="7" t="str">
        <f t="shared" si="2"/>
        <v>男</v>
      </c>
      <c r="E8" s="7" t="str">
        <f>"22020100106"</f>
        <v>22020100106</v>
      </c>
      <c r="F8" s="7" t="str">
        <f t="shared" si="1"/>
        <v>001</v>
      </c>
      <c r="G8" s="7" t="str">
        <f>"06"</f>
        <v>06</v>
      </c>
      <c r="H8" s="7">
        <v>78.3</v>
      </c>
    </row>
    <row r="9" ht="22.95" customHeight="1" spans="1:8">
      <c r="A9" s="6">
        <v>7</v>
      </c>
      <c r="B9" s="7" t="str">
        <f t="shared" si="0"/>
        <v>01</v>
      </c>
      <c r="C9" s="7" t="str">
        <f>"安旭"</f>
        <v>安旭</v>
      </c>
      <c r="D9" s="7" t="str">
        <f t="shared" si="2"/>
        <v>男</v>
      </c>
      <c r="E9" s="7" t="str">
        <f>"22020100107"</f>
        <v>22020100107</v>
      </c>
      <c r="F9" s="7" t="str">
        <f t="shared" si="1"/>
        <v>001</v>
      </c>
      <c r="G9" s="7" t="str">
        <f>"07"</f>
        <v>07</v>
      </c>
      <c r="H9" s="7">
        <v>58.6</v>
      </c>
    </row>
    <row r="10" ht="22.95" customHeight="1" spans="1:8">
      <c r="A10" s="6">
        <v>8</v>
      </c>
      <c r="B10" s="7" t="str">
        <f t="shared" si="0"/>
        <v>01</v>
      </c>
      <c r="C10" s="7" t="str">
        <f>"方峥"</f>
        <v>方峥</v>
      </c>
      <c r="D10" s="7" t="str">
        <f t="shared" si="2"/>
        <v>男</v>
      </c>
      <c r="E10" s="7" t="str">
        <f>"22020100108"</f>
        <v>22020100108</v>
      </c>
      <c r="F10" s="7" t="str">
        <f t="shared" si="1"/>
        <v>001</v>
      </c>
      <c r="G10" s="7" t="str">
        <f>"08"</f>
        <v>08</v>
      </c>
      <c r="H10" s="7">
        <v>47.2</v>
      </c>
    </row>
    <row r="11" ht="22.95" customHeight="1" spans="1:8">
      <c r="A11" s="6">
        <v>9</v>
      </c>
      <c r="B11" s="7" t="str">
        <f t="shared" si="0"/>
        <v>01</v>
      </c>
      <c r="C11" s="7" t="str">
        <f>"古腾"</f>
        <v>古腾</v>
      </c>
      <c r="D11" s="7" t="str">
        <f t="shared" si="2"/>
        <v>男</v>
      </c>
      <c r="E11" s="7" t="str">
        <f>"22020100109"</f>
        <v>22020100109</v>
      </c>
      <c r="F11" s="7" t="str">
        <f t="shared" si="1"/>
        <v>001</v>
      </c>
      <c r="G11" s="7" t="str">
        <f>"09"</f>
        <v>09</v>
      </c>
      <c r="H11" s="7">
        <v>64.1</v>
      </c>
    </row>
    <row r="12" ht="22.95" customHeight="1" spans="1:8">
      <c r="A12" s="6">
        <v>10</v>
      </c>
      <c r="B12" s="7" t="str">
        <f t="shared" si="0"/>
        <v>01</v>
      </c>
      <c r="C12" s="7" t="str">
        <f>"曲军营"</f>
        <v>曲军营</v>
      </c>
      <c r="D12" s="7" t="str">
        <f t="shared" si="2"/>
        <v>男</v>
      </c>
      <c r="E12" s="7" t="str">
        <f>"22020100110"</f>
        <v>22020100110</v>
      </c>
      <c r="F12" s="7" t="str">
        <f t="shared" si="1"/>
        <v>001</v>
      </c>
      <c r="G12" s="7" t="str">
        <f>"10"</f>
        <v>10</v>
      </c>
      <c r="H12" s="7">
        <v>49.7</v>
      </c>
    </row>
    <row r="13" ht="22.95" customHeight="1" spans="1:8">
      <c r="A13" s="6">
        <v>11</v>
      </c>
      <c r="B13" s="7" t="str">
        <f t="shared" si="0"/>
        <v>01</v>
      </c>
      <c r="C13" s="7" t="str">
        <f>"靖翰"</f>
        <v>靖翰</v>
      </c>
      <c r="D13" s="7" t="str">
        <f>"女"</f>
        <v>女</v>
      </c>
      <c r="E13" s="7" t="str">
        <f>"22020100111"</f>
        <v>22020100111</v>
      </c>
      <c r="F13" s="7" t="str">
        <f t="shared" si="1"/>
        <v>001</v>
      </c>
      <c r="G13" s="7" t="str">
        <f>"11"</f>
        <v>11</v>
      </c>
      <c r="H13" s="7">
        <v>67.7</v>
      </c>
    </row>
    <row r="14" ht="22.95" customHeight="1" spans="1:8">
      <c r="A14" s="6">
        <v>12</v>
      </c>
      <c r="B14" s="7" t="str">
        <f t="shared" si="0"/>
        <v>01</v>
      </c>
      <c r="C14" s="7" t="str">
        <f>"杨茜茜"</f>
        <v>杨茜茜</v>
      </c>
      <c r="D14" s="7" t="str">
        <f>"女"</f>
        <v>女</v>
      </c>
      <c r="E14" s="7" t="str">
        <f>"22020100112"</f>
        <v>22020100112</v>
      </c>
      <c r="F14" s="7" t="str">
        <f t="shared" si="1"/>
        <v>001</v>
      </c>
      <c r="G14" s="7" t="str">
        <f>"12"</f>
        <v>12</v>
      </c>
      <c r="H14" s="7">
        <v>64.4</v>
      </c>
    </row>
    <row r="15" ht="22.95" customHeight="1" spans="1:8">
      <c r="A15" s="6">
        <v>13</v>
      </c>
      <c r="B15" s="7" t="str">
        <f t="shared" si="0"/>
        <v>01</v>
      </c>
      <c r="C15" s="7" t="str">
        <f>"叶闪闪"</f>
        <v>叶闪闪</v>
      </c>
      <c r="D15" s="7" t="str">
        <f>"女"</f>
        <v>女</v>
      </c>
      <c r="E15" s="7" t="str">
        <f>"22020100113"</f>
        <v>22020100113</v>
      </c>
      <c r="F15" s="7" t="str">
        <f t="shared" si="1"/>
        <v>001</v>
      </c>
      <c r="G15" s="7" t="str">
        <f>"13"</f>
        <v>13</v>
      </c>
      <c r="H15" s="7" t="s">
        <v>9</v>
      </c>
    </row>
    <row r="16" ht="22.95" customHeight="1" spans="1:8">
      <c r="A16" s="6">
        <v>14</v>
      </c>
      <c r="B16" s="7" t="str">
        <f t="shared" si="0"/>
        <v>01</v>
      </c>
      <c r="C16" s="7" t="str">
        <f>"谢光辉"</f>
        <v>谢光辉</v>
      </c>
      <c r="D16" s="7" t="str">
        <f>"男"</f>
        <v>男</v>
      </c>
      <c r="E16" s="7" t="str">
        <f>"22020100114"</f>
        <v>22020100114</v>
      </c>
      <c r="F16" s="7" t="str">
        <f t="shared" si="1"/>
        <v>001</v>
      </c>
      <c r="G16" s="7" t="str">
        <f>"14"</f>
        <v>14</v>
      </c>
      <c r="H16" s="7">
        <v>54.5</v>
      </c>
    </row>
    <row r="17" ht="22.95" customHeight="1" spans="1:8">
      <c r="A17" s="6">
        <v>15</v>
      </c>
      <c r="B17" s="7" t="str">
        <f t="shared" si="0"/>
        <v>01</v>
      </c>
      <c r="C17" s="7" t="str">
        <f>"陈博轶"</f>
        <v>陈博轶</v>
      </c>
      <c r="D17" s="7" t="str">
        <f>"女"</f>
        <v>女</v>
      </c>
      <c r="E17" s="7" t="str">
        <f>"22020100115"</f>
        <v>22020100115</v>
      </c>
      <c r="F17" s="7" t="str">
        <f t="shared" si="1"/>
        <v>001</v>
      </c>
      <c r="G17" s="7" t="str">
        <f>"15"</f>
        <v>15</v>
      </c>
      <c r="H17" s="7">
        <v>73.5</v>
      </c>
    </row>
    <row r="18" ht="22.95" customHeight="1" spans="1:8">
      <c r="A18" s="6">
        <v>16</v>
      </c>
      <c r="B18" s="7" t="str">
        <f t="shared" si="0"/>
        <v>01</v>
      </c>
      <c r="C18" s="7" t="str">
        <f>"党国旗"</f>
        <v>党国旗</v>
      </c>
      <c r="D18" s="7" t="str">
        <f>"女"</f>
        <v>女</v>
      </c>
      <c r="E18" s="7" t="str">
        <f>"22020100116"</f>
        <v>22020100116</v>
      </c>
      <c r="F18" s="7" t="str">
        <f t="shared" si="1"/>
        <v>001</v>
      </c>
      <c r="G18" s="7" t="str">
        <f>"16"</f>
        <v>16</v>
      </c>
      <c r="H18" s="7">
        <v>54.1</v>
      </c>
    </row>
    <row r="19" ht="22.95" customHeight="1" spans="1:8">
      <c r="A19" s="6">
        <v>17</v>
      </c>
      <c r="B19" s="7" t="str">
        <f t="shared" si="0"/>
        <v>01</v>
      </c>
      <c r="C19" s="7" t="str">
        <f>"罗圣"</f>
        <v>罗圣</v>
      </c>
      <c r="D19" s="7" t="str">
        <f>"男"</f>
        <v>男</v>
      </c>
      <c r="E19" s="7" t="str">
        <f>"22020100117"</f>
        <v>22020100117</v>
      </c>
      <c r="F19" s="7" t="str">
        <f t="shared" si="1"/>
        <v>001</v>
      </c>
      <c r="G19" s="7" t="str">
        <f>"17"</f>
        <v>17</v>
      </c>
      <c r="H19" s="7">
        <v>66.8</v>
      </c>
    </row>
    <row r="20" ht="22.95" customHeight="1" spans="1:8">
      <c r="A20" s="6">
        <v>18</v>
      </c>
      <c r="B20" s="7" t="str">
        <f t="shared" si="0"/>
        <v>01</v>
      </c>
      <c r="C20" s="7" t="str">
        <f>"张彦军"</f>
        <v>张彦军</v>
      </c>
      <c r="D20" s="7" t="str">
        <f>"男"</f>
        <v>男</v>
      </c>
      <c r="E20" s="7" t="str">
        <f>"22020100118"</f>
        <v>22020100118</v>
      </c>
      <c r="F20" s="7" t="str">
        <f t="shared" si="1"/>
        <v>001</v>
      </c>
      <c r="G20" s="7" t="str">
        <f>"18"</f>
        <v>18</v>
      </c>
      <c r="H20" s="7">
        <v>50.6</v>
      </c>
    </row>
    <row r="21" ht="22.95" customHeight="1" spans="1:8">
      <c r="A21" s="6">
        <v>19</v>
      </c>
      <c r="B21" s="7" t="str">
        <f t="shared" si="0"/>
        <v>01</v>
      </c>
      <c r="C21" s="7" t="str">
        <f>"胡坦"</f>
        <v>胡坦</v>
      </c>
      <c r="D21" s="7" t="str">
        <f>"男"</f>
        <v>男</v>
      </c>
      <c r="E21" s="7" t="str">
        <f>"22020100119"</f>
        <v>22020100119</v>
      </c>
      <c r="F21" s="7" t="str">
        <f t="shared" si="1"/>
        <v>001</v>
      </c>
      <c r="G21" s="7" t="str">
        <f>"19"</f>
        <v>19</v>
      </c>
      <c r="H21" s="7">
        <v>51.9</v>
      </c>
    </row>
    <row r="22" ht="22.95" customHeight="1" spans="1:8">
      <c r="A22" s="6">
        <v>20</v>
      </c>
      <c r="B22" s="7" t="str">
        <f t="shared" si="0"/>
        <v>01</v>
      </c>
      <c r="C22" s="7" t="str">
        <f>"郭兵"</f>
        <v>郭兵</v>
      </c>
      <c r="D22" s="7" t="str">
        <f>"男"</f>
        <v>男</v>
      </c>
      <c r="E22" s="7" t="str">
        <f>"22020100120"</f>
        <v>22020100120</v>
      </c>
      <c r="F22" s="7" t="str">
        <f t="shared" si="1"/>
        <v>001</v>
      </c>
      <c r="G22" s="7" t="str">
        <f>"20"</f>
        <v>20</v>
      </c>
      <c r="H22" s="7">
        <v>43.1</v>
      </c>
    </row>
    <row r="23" ht="22.95" customHeight="1" spans="1:8">
      <c r="A23" s="6">
        <v>21</v>
      </c>
      <c r="B23" s="7" t="str">
        <f t="shared" si="0"/>
        <v>01</v>
      </c>
      <c r="C23" s="7" t="str">
        <f>"葛雅楠"</f>
        <v>葛雅楠</v>
      </c>
      <c r="D23" s="7" t="str">
        <f>"女"</f>
        <v>女</v>
      </c>
      <c r="E23" s="7" t="str">
        <f>"22020100121"</f>
        <v>22020100121</v>
      </c>
      <c r="F23" s="7" t="str">
        <f t="shared" si="1"/>
        <v>001</v>
      </c>
      <c r="G23" s="7" t="str">
        <f>"21"</f>
        <v>21</v>
      </c>
      <c r="H23" s="7">
        <v>70.3</v>
      </c>
    </row>
    <row r="24" ht="22.95" customHeight="1" spans="1:8">
      <c r="A24" s="6">
        <v>22</v>
      </c>
      <c r="B24" s="7" t="str">
        <f t="shared" si="0"/>
        <v>01</v>
      </c>
      <c r="C24" s="7" t="str">
        <f>"曲静"</f>
        <v>曲静</v>
      </c>
      <c r="D24" s="7" t="str">
        <f>"女"</f>
        <v>女</v>
      </c>
      <c r="E24" s="7" t="str">
        <f>"22020100122"</f>
        <v>22020100122</v>
      </c>
      <c r="F24" s="7" t="str">
        <f t="shared" si="1"/>
        <v>001</v>
      </c>
      <c r="G24" s="7" t="str">
        <f>"22"</f>
        <v>22</v>
      </c>
      <c r="H24" s="7">
        <v>65.8</v>
      </c>
    </row>
    <row r="25" ht="22.95" customHeight="1" spans="1:8">
      <c r="A25" s="6">
        <v>23</v>
      </c>
      <c r="B25" s="7" t="str">
        <f t="shared" si="0"/>
        <v>01</v>
      </c>
      <c r="C25" s="7" t="str">
        <f>"徐晓"</f>
        <v>徐晓</v>
      </c>
      <c r="D25" s="7" t="str">
        <f>"女"</f>
        <v>女</v>
      </c>
      <c r="E25" s="7" t="str">
        <f>"22020100123"</f>
        <v>22020100123</v>
      </c>
      <c r="F25" s="7" t="str">
        <f t="shared" si="1"/>
        <v>001</v>
      </c>
      <c r="G25" s="7" t="str">
        <f>"23"</f>
        <v>23</v>
      </c>
      <c r="H25" s="7">
        <v>65.7</v>
      </c>
    </row>
    <row r="26" ht="22.95" customHeight="1" spans="1:8">
      <c r="A26" s="6">
        <v>24</v>
      </c>
      <c r="B26" s="7" t="str">
        <f t="shared" si="0"/>
        <v>01</v>
      </c>
      <c r="C26" s="7" t="str">
        <f>"郑大鹏"</f>
        <v>郑大鹏</v>
      </c>
      <c r="D26" s="7" t="str">
        <f>"男"</f>
        <v>男</v>
      </c>
      <c r="E26" s="7" t="str">
        <f>"22020100124"</f>
        <v>22020100124</v>
      </c>
      <c r="F26" s="7" t="str">
        <f t="shared" si="1"/>
        <v>001</v>
      </c>
      <c r="G26" s="7" t="str">
        <f>"24"</f>
        <v>24</v>
      </c>
      <c r="H26" s="7">
        <v>64.8</v>
      </c>
    </row>
    <row r="27" ht="22.95" customHeight="1" spans="1:8">
      <c r="A27" s="6">
        <v>25</v>
      </c>
      <c r="B27" s="7" t="str">
        <f t="shared" si="0"/>
        <v>01</v>
      </c>
      <c r="C27" s="7" t="str">
        <f>"郭闪闪"</f>
        <v>郭闪闪</v>
      </c>
      <c r="D27" s="7" t="str">
        <f>"女"</f>
        <v>女</v>
      </c>
      <c r="E27" s="7" t="str">
        <f>"22020100125"</f>
        <v>22020100125</v>
      </c>
      <c r="F27" s="7" t="str">
        <f t="shared" si="1"/>
        <v>001</v>
      </c>
      <c r="G27" s="7" t="str">
        <f>"25"</f>
        <v>25</v>
      </c>
      <c r="H27" s="7">
        <v>61.8</v>
      </c>
    </row>
    <row r="28" ht="22.95" customHeight="1" spans="1:8">
      <c r="A28" s="6">
        <v>26</v>
      </c>
      <c r="B28" s="7" t="str">
        <f t="shared" si="0"/>
        <v>01</v>
      </c>
      <c r="C28" s="7" t="str">
        <f>"龚彬"</f>
        <v>龚彬</v>
      </c>
      <c r="D28" s="7" t="str">
        <f>"男"</f>
        <v>男</v>
      </c>
      <c r="E28" s="7" t="str">
        <f>"22020100126"</f>
        <v>22020100126</v>
      </c>
      <c r="F28" s="7" t="str">
        <f t="shared" si="1"/>
        <v>001</v>
      </c>
      <c r="G28" s="7" t="str">
        <f>"26"</f>
        <v>26</v>
      </c>
      <c r="H28" s="7">
        <v>87.6</v>
      </c>
    </row>
    <row r="29" ht="22.95" customHeight="1" spans="1:8">
      <c r="A29" s="6">
        <v>27</v>
      </c>
      <c r="B29" s="7" t="str">
        <f t="shared" si="0"/>
        <v>01</v>
      </c>
      <c r="C29" s="7" t="str">
        <f>"张雅"</f>
        <v>张雅</v>
      </c>
      <c r="D29" s="7" t="str">
        <f>"女"</f>
        <v>女</v>
      </c>
      <c r="E29" s="7" t="str">
        <f>"22020100127"</f>
        <v>22020100127</v>
      </c>
      <c r="F29" s="7" t="str">
        <f t="shared" si="1"/>
        <v>001</v>
      </c>
      <c r="G29" s="7" t="str">
        <f>"27"</f>
        <v>27</v>
      </c>
      <c r="H29" s="7">
        <v>70.1</v>
      </c>
    </row>
    <row r="30" ht="22.95" customHeight="1" spans="1:8">
      <c r="A30" s="6">
        <v>28</v>
      </c>
      <c r="B30" s="7" t="str">
        <f t="shared" si="0"/>
        <v>01</v>
      </c>
      <c r="C30" s="7" t="str">
        <f>"邹凯"</f>
        <v>邹凯</v>
      </c>
      <c r="D30" s="7" t="str">
        <f t="shared" ref="D30:D35" si="3">"男"</f>
        <v>男</v>
      </c>
      <c r="E30" s="7" t="str">
        <f>"22020100128"</f>
        <v>22020100128</v>
      </c>
      <c r="F30" s="7" t="str">
        <f t="shared" si="1"/>
        <v>001</v>
      </c>
      <c r="G30" s="7" t="str">
        <f>"28"</f>
        <v>28</v>
      </c>
      <c r="H30" s="7">
        <v>72.9</v>
      </c>
    </row>
    <row r="31" ht="22.95" customHeight="1" spans="1:8">
      <c r="A31" s="6">
        <v>29</v>
      </c>
      <c r="B31" s="7" t="str">
        <f t="shared" si="0"/>
        <v>01</v>
      </c>
      <c r="C31" s="7" t="str">
        <f>"刘明"</f>
        <v>刘明</v>
      </c>
      <c r="D31" s="7" t="str">
        <f t="shared" si="3"/>
        <v>男</v>
      </c>
      <c r="E31" s="7" t="str">
        <f>"22020100129"</f>
        <v>22020100129</v>
      </c>
      <c r="F31" s="7" t="str">
        <f t="shared" si="1"/>
        <v>001</v>
      </c>
      <c r="G31" s="7" t="str">
        <f>"29"</f>
        <v>29</v>
      </c>
      <c r="H31" s="7">
        <v>83.8</v>
      </c>
    </row>
    <row r="32" ht="22.95" customHeight="1" spans="1:8">
      <c r="A32" s="6">
        <v>30</v>
      </c>
      <c r="B32" s="7" t="str">
        <f t="shared" si="0"/>
        <v>01</v>
      </c>
      <c r="C32" s="7" t="str">
        <f>"张凯翔"</f>
        <v>张凯翔</v>
      </c>
      <c r="D32" s="7" t="str">
        <f t="shared" si="3"/>
        <v>男</v>
      </c>
      <c r="E32" s="7" t="str">
        <f>"22020100130"</f>
        <v>22020100130</v>
      </c>
      <c r="F32" s="7" t="str">
        <f t="shared" si="1"/>
        <v>001</v>
      </c>
      <c r="G32" s="7" t="str">
        <f>"30"</f>
        <v>30</v>
      </c>
      <c r="H32" s="7">
        <v>56.3</v>
      </c>
    </row>
    <row r="33" ht="22.95" customHeight="1" spans="1:8">
      <c r="A33" s="6">
        <v>31</v>
      </c>
      <c r="B33" s="7" t="str">
        <f t="shared" si="0"/>
        <v>01</v>
      </c>
      <c r="C33" s="7" t="str">
        <f>"张闯"</f>
        <v>张闯</v>
      </c>
      <c r="D33" s="7" t="str">
        <f t="shared" si="3"/>
        <v>男</v>
      </c>
      <c r="E33" s="7" t="str">
        <f>"22020100201"</f>
        <v>22020100201</v>
      </c>
      <c r="F33" s="7" t="str">
        <f t="shared" ref="F33:F62" si="4">"002"</f>
        <v>002</v>
      </c>
      <c r="G33" s="7" t="str">
        <f>"01"</f>
        <v>01</v>
      </c>
      <c r="H33" s="7">
        <v>79</v>
      </c>
    </row>
    <row r="34" ht="22.95" customHeight="1" spans="1:8">
      <c r="A34" s="6">
        <v>32</v>
      </c>
      <c r="B34" s="7" t="str">
        <f t="shared" si="0"/>
        <v>01</v>
      </c>
      <c r="C34" s="7" t="str">
        <f>"牛鹏飞"</f>
        <v>牛鹏飞</v>
      </c>
      <c r="D34" s="7" t="str">
        <f t="shared" si="3"/>
        <v>男</v>
      </c>
      <c r="E34" s="7" t="str">
        <f>"22020100202"</f>
        <v>22020100202</v>
      </c>
      <c r="F34" s="7" t="str">
        <f t="shared" si="4"/>
        <v>002</v>
      </c>
      <c r="G34" s="7" t="str">
        <f>"02"</f>
        <v>02</v>
      </c>
      <c r="H34" s="7">
        <v>59.4</v>
      </c>
    </row>
    <row r="35" ht="22.95" customHeight="1" spans="1:8">
      <c r="A35" s="6">
        <v>33</v>
      </c>
      <c r="B35" s="7" t="str">
        <f t="shared" si="0"/>
        <v>01</v>
      </c>
      <c r="C35" s="7" t="str">
        <f>"朱帅"</f>
        <v>朱帅</v>
      </c>
      <c r="D35" s="7" t="str">
        <f t="shared" si="3"/>
        <v>男</v>
      </c>
      <c r="E35" s="7" t="str">
        <f>"22020100203"</f>
        <v>22020100203</v>
      </c>
      <c r="F35" s="7" t="str">
        <f t="shared" si="4"/>
        <v>002</v>
      </c>
      <c r="G35" s="7" t="str">
        <f>"03"</f>
        <v>03</v>
      </c>
      <c r="H35" s="7">
        <v>50.4</v>
      </c>
    </row>
    <row r="36" ht="22.95" customHeight="1" spans="1:8">
      <c r="A36" s="6">
        <v>34</v>
      </c>
      <c r="B36" s="7" t="str">
        <f t="shared" si="0"/>
        <v>01</v>
      </c>
      <c r="C36" s="7" t="str">
        <f>"王同霞"</f>
        <v>王同霞</v>
      </c>
      <c r="D36" s="7" t="str">
        <f>"女"</f>
        <v>女</v>
      </c>
      <c r="E36" s="7" t="str">
        <f>"22020100204"</f>
        <v>22020100204</v>
      </c>
      <c r="F36" s="7" t="str">
        <f t="shared" si="4"/>
        <v>002</v>
      </c>
      <c r="G36" s="7" t="str">
        <f>"04"</f>
        <v>04</v>
      </c>
      <c r="H36" s="7">
        <v>65.8</v>
      </c>
    </row>
    <row r="37" ht="22.95" customHeight="1" spans="1:8">
      <c r="A37" s="6">
        <v>35</v>
      </c>
      <c r="B37" s="7" t="str">
        <f t="shared" si="0"/>
        <v>01</v>
      </c>
      <c r="C37" s="7" t="str">
        <f>"王协"</f>
        <v>王协</v>
      </c>
      <c r="D37" s="7" t="str">
        <f>"男"</f>
        <v>男</v>
      </c>
      <c r="E37" s="7" t="str">
        <f>"22020100205"</f>
        <v>22020100205</v>
      </c>
      <c r="F37" s="7" t="str">
        <f t="shared" si="4"/>
        <v>002</v>
      </c>
      <c r="G37" s="7" t="str">
        <f>"05"</f>
        <v>05</v>
      </c>
      <c r="H37" s="7">
        <v>59.7</v>
      </c>
    </row>
    <row r="38" ht="22.95" customHeight="1" spans="1:8">
      <c r="A38" s="6">
        <v>36</v>
      </c>
      <c r="B38" s="7" t="str">
        <f t="shared" si="0"/>
        <v>01</v>
      </c>
      <c r="C38" s="7" t="str">
        <f>"白皓元"</f>
        <v>白皓元</v>
      </c>
      <c r="D38" s="7" t="str">
        <f>"男"</f>
        <v>男</v>
      </c>
      <c r="E38" s="7" t="str">
        <f>"22020100206"</f>
        <v>22020100206</v>
      </c>
      <c r="F38" s="7" t="str">
        <f t="shared" si="4"/>
        <v>002</v>
      </c>
      <c r="G38" s="7" t="str">
        <f>"06"</f>
        <v>06</v>
      </c>
      <c r="H38" s="7">
        <v>64.8</v>
      </c>
    </row>
    <row r="39" ht="22.95" customHeight="1" spans="1:8">
      <c r="A39" s="6">
        <v>37</v>
      </c>
      <c r="B39" s="7" t="str">
        <f t="shared" si="0"/>
        <v>01</v>
      </c>
      <c r="C39" s="7" t="str">
        <f>"杨国娜"</f>
        <v>杨国娜</v>
      </c>
      <c r="D39" s="7" t="str">
        <f>"女"</f>
        <v>女</v>
      </c>
      <c r="E39" s="7" t="str">
        <f>"22020100207"</f>
        <v>22020100207</v>
      </c>
      <c r="F39" s="7" t="str">
        <f t="shared" si="4"/>
        <v>002</v>
      </c>
      <c r="G39" s="7" t="str">
        <f>"07"</f>
        <v>07</v>
      </c>
      <c r="H39" s="7">
        <v>58</v>
      </c>
    </row>
    <row r="40" ht="22.95" customHeight="1" spans="1:8">
      <c r="A40" s="6">
        <v>38</v>
      </c>
      <c r="B40" s="7" t="str">
        <f t="shared" si="0"/>
        <v>01</v>
      </c>
      <c r="C40" s="7" t="str">
        <f>"周理洵"</f>
        <v>周理洵</v>
      </c>
      <c r="D40" s="7" t="str">
        <f t="shared" ref="D40:D46" si="5">"男"</f>
        <v>男</v>
      </c>
      <c r="E40" s="7" t="str">
        <f>"22020100208"</f>
        <v>22020100208</v>
      </c>
      <c r="F40" s="7" t="str">
        <f t="shared" si="4"/>
        <v>002</v>
      </c>
      <c r="G40" s="7" t="str">
        <f>"08"</f>
        <v>08</v>
      </c>
      <c r="H40" s="7">
        <v>61.5</v>
      </c>
    </row>
    <row r="41" ht="22.95" customHeight="1" spans="1:8">
      <c r="A41" s="6">
        <v>39</v>
      </c>
      <c r="B41" s="7" t="str">
        <f t="shared" si="0"/>
        <v>01</v>
      </c>
      <c r="C41" s="7" t="str">
        <f>"欧帅"</f>
        <v>欧帅</v>
      </c>
      <c r="D41" s="7" t="str">
        <f t="shared" si="5"/>
        <v>男</v>
      </c>
      <c r="E41" s="7" t="str">
        <f>"22020100209"</f>
        <v>22020100209</v>
      </c>
      <c r="F41" s="7" t="str">
        <f t="shared" si="4"/>
        <v>002</v>
      </c>
      <c r="G41" s="7" t="str">
        <f>"09"</f>
        <v>09</v>
      </c>
      <c r="H41" s="7">
        <v>59.8</v>
      </c>
    </row>
    <row r="42" ht="22.95" customHeight="1" spans="1:8">
      <c r="A42" s="6">
        <v>40</v>
      </c>
      <c r="B42" s="7" t="str">
        <f t="shared" si="0"/>
        <v>01</v>
      </c>
      <c r="C42" s="7" t="str">
        <f>"王民"</f>
        <v>王民</v>
      </c>
      <c r="D42" s="7" t="str">
        <f t="shared" si="5"/>
        <v>男</v>
      </c>
      <c r="E42" s="7" t="str">
        <f>"22020100210"</f>
        <v>22020100210</v>
      </c>
      <c r="F42" s="7" t="str">
        <f t="shared" si="4"/>
        <v>002</v>
      </c>
      <c r="G42" s="7" t="str">
        <f>"10"</f>
        <v>10</v>
      </c>
      <c r="H42" s="7">
        <v>60.9</v>
      </c>
    </row>
    <row r="43" ht="22.95" customHeight="1" spans="1:8">
      <c r="A43" s="6">
        <v>41</v>
      </c>
      <c r="B43" s="7" t="str">
        <f t="shared" si="0"/>
        <v>01</v>
      </c>
      <c r="C43" s="7" t="str">
        <f>"吴青稳"</f>
        <v>吴青稳</v>
      </c>
      <c r="D43" s="7" t="str">
        <f t="shared" si="5"/>
        <v>男</v>
      </c>
      <c r="E43" s="7" t="str">
        <f>"22020100211"</f>
        <v>22020100211</v>
      </c>
      <c r="F43" s="7" t="str">
        <f t="shared" si="4"/>
        <v>002</v>
      </c>
      <c r="G43" s="7" t="str">
        <f>"11"</f>
        <v>11</v>
      </c>
      <c r="H43" s="7">
        <v>63.7</v>
      </c>
    </row>
    <row r="44" ht="22.95" customHeight="1" spans="1:8">
      <c r="A44" s="6">
        <v>42</v>
      </c>
      <c r="B44" s="7" t="str">
        <f t="shared" si="0"/>
        <v>01</v>
      </c>
      <c r="C44" s="7" t="str">
        <f>"牛奎森"</f>
        <v>牛奎森</v>
      </c>
      <c r="D44" s="7" t="str">
        <f t="shared" si="5"/>
        <v>男</v>
      </c>
      <c r="E44" s="7" t="str">
        <f>"22020100212"</f>
        <v>22020100212</v>
      </c>
      <c r="F44" s="7" t="str">
        <f t="shared" si="4"/>
        <v>002</v>
      </c>
      <c r="G44" s="7" t="str">
        <f>"12"</f>
        <v>12</v>
      </c>
      <c r="H44" s="7">
        <v>72.2</v>
      </c>
    </row>
    <row r="45" ht="22.95" customHeight="1" spans="1:8">
      <c r="A45" s="6">
        <v>43</v>
      </c>
      <c r="B45" s="7" t="str">
        <f t="shared" si="0"/>
        <v>01</v>
      </c>
      <c r="C45" s="7" t="str">
        <f>"刘龙"</f>
        <v>刘龙</v>
      </c>
      <c r="D45" s="7" t="str">
        <f t="shared" si="5"/>
        <v>男</v>
      </c>
      <c r="E45" s="7" t="str">
        <f>"22020100213"</f>
        <v>22020100213</v>
      </c>
      <c r="F45" s="7" t="str">
        <f t="shared" si="4"/>
        <v>002</v>
      </c>
      <c r="G45" s="7" t="str">
        <f>"13"</f>
        <v>13</v>
      </c>
      <c r="H45" s="7">
        <v>68.7</v>
      </c>
    </row>
    <row r="46" ht="22.95" customHeight="1" spans="1:8">
      <c r="A46" s="6">
        <v>44</v>
      </c>
      <c r="B46" s="7" t="str">
        <f t="shared" si="0"/>
        <v>01</v>
      </c>
      <c r="C46" s="7" t="str">
        <f>"刘和尚"</f>
        <v>刘和尚</v>
      </c>
      <c r="D46" s="7" t="str">
        <f t="shared" si="5"/>
        <v>男</v>
      </c>
      <c r="E46" s="7" t="str">
        <f>"22020100214"</f>
        <v>22020100214</v>
      </c>
      <c r="F46" s="7" t="str">
        <f t="shared" si="4"/>
        <v>002</v>
      </c>
      <c r="G46" s="7" t="str">
        <f>"14"</f>
        <v>14</v>
      </c>
      <c r="H46" s="7">
        <v>46.9</v>
      </c>
    </row>
    <row r="47" ht="22.95" customHeight="1" spans="1:8">
      <c r="A47" s="6">
        <v>45</v>
      </c>
      <c r="B47" s="7" t="str">
        <f t="shared" si="0"/>
        <v>01</v>
      </c>
      <c r="C47" s="7" t="str">
        <f>"刘嘉"</f>
        <v>刘嘉</v>
      </c>
      <c r="D47" s="7" t="str">
        <f>"女"</f>
        <v>女</v>
      </c>
      <c r="E47" s="7" t="str">
        <f>"22020100215"</f>
        <v>22020100215</v>
      </c>
      <c r="F47" s="7" t="str">
        <f t="shared" si="4"/>
        <v>002</v>
      </c>
      <c r="G47" s="7" t="str">
        <f>"15"</f>
        <v>15</v>
      </c>
      <c r="H47" s="7">
        <v>65.3</v>
      </c>
    </row>
    <row r="48" ht="22.95" customHeight="1" spans="1:8">
      <c r="A48" s="6">
        <v>46</v>
      </c>
      <c r="B48" s="7" t="str">
        <f t="shared" si="0"/>
        <v>01</v>
      </c>
      <c r="C48" s="7" t="str">
        <f>"王果"</f>
        <v>王果</v>
      </c>
      <c r="D48" s="7" t="str">
        <f>"男"</f>
        <v>男</v>
      </c>
      <c r="E48" s="7" t="str">
        <f>"22020100216"</f>
        <v>22020100216</v>
      </c>
      <c r="F48" s="7" t="str">
        <f t="shared" si="4"/>
        <v>002</v>
      </c>
      <c r="G48" s="7" t="str">
        <f>"16"</f>
        <v>16</v>
      </c>
      <c r="H48" s="7">
        <v>59.6</v>
      </c>
    </row>
    <row r="49" ht="22.95" customHeight="1" spans="1:8">
      <c r="A49" s="6">
        <v>47</v>
      </c>
      <c r="B49" s="7" t="str">
        <f t="shared" si="0"/>
        <v>01</v>
      </c>
      <c r="C49" s="7" t="str">
        <f>"刘前前"</f>
        <v>刘前前</v>
      </c>
      <c r="D49" s="7" t="str">
        <f>"女"</f>
        <v>女</v>
      </c>
      <c r="E49" s="7" t="str">
        <f>"22020100217"</f>
        <v>22020100217</v>
      </c>
      <c r="F49" s="7" t="str">
        <f t="shared" si="4"/>
        <v>002</v>
      </c>
      <c r="G49" s="7" t="str">
        <f>"17"</f>
        <v>17</v>
      </c>
      <c r="H49" s="7">
        <v>46.2</v>
      </c>
    </row>
    <row r="50" ht="22.95" customHeight="1" spans="1:8">
      <c r="A50" s="6">
        <v>48</v>
      </c>
      <c r="B50" s="7" t="str">
        <f t="shared" si="0"/>
        <v>01</v>
      </c>
      <c r="C50" s="7" t="str">
        <f>"杨猛"</f>
        <v>杨猛</v>
      </c>
      <c r="D50" s="7" t="str">
        <f>"男"</f>
        <v>男</v>
      </c>
      <c r="E50" s="7" t="str">
        <f>"22020100218"</f>
        <v>22020100218</v>
      </c>
      <c r="F50" s="7" t="str">
        <f t="shared" si="4"/>
        <v>002</v>
      </c>
      <c r="G50" s="7" t="str">
        <f>"18"</f>
        <v>18</v>
      </c>
      <c r="H50" s="7">
        <v>52.8</v>
      </c>
    </row>
    <row r="51" ht="22.95" customHeight="1" spans="1:8">
      <c r="A51" s="6">
        <v>49</v>
      </c>
      <c r="B51" s="7" t="str">
        <f t="shared" si="0"/>
        <v>01</v>
      </c>
      <c r="C51" s="7" t="str">
        <f>"刘英"</f>
        <v>刘英</v>
      </c>
      <c r="D51" s="7" t="str">
        <f>"女"</f>
        <v>女</v>
      </c>
      <c r="E51" s="7" t="str">
        <f>"22020100219"</f>
        <v>22020100219</v>
      </c>
      <c r="F51" s="7" t="str">
        <f t="shared" si="4"/>
        <v>002</v>
      </c>
      <c r="G51" s="7" t="str">
        <f>"19"</f>
        <v>19</v>
      </c>
      <c r="H51" s="7" t="s">
        <v>9</v>
      </c>
    </row>
    <row r="52" ht="22.95" customHeight="1" spans="1:8">
      <c r="A52" s="6">
        <v>50</v>
      </c>
      <c r="B52" s="7" t="str">
        <f t="shared" si="0"/>
        <v>01</v>
      </c>
      <c r="C52" s="7" t="str">
        <f>"陈曦"</f>
        <v>陈曦</v>
      </c>
      <c r="D52" s="7" t="str">
        <f>"男"</f>
        <v>男</v>
      </c>
      <c r="E52" s="7" t="str">
        <f>"22020100220"</f>
        <v>22020100220</v>
      </c>
      <c r="F52" s="7" t="str">
        <f t="shared" si="4"/>
        <v>002</v>
      </c>
      <c r="G52" s="7" t="str">
        <f>"20"</f>
        <v>20</v>
      </c>
      <c r="H52" s="7" t="s">
        <v>9</v>
      </c>
    </row>
    <row r="53" ht="22.95" customHeight="1" spans="1:8">
      <c r="A53" s="6">
        <v>51</v>
      </c>
      <c r="B53" s="7" t="str">
        <f t="shared" si="0"/>
        <v>01</v>
      </c>
      <c r="C53" s="7" t="str">
        <f>"杨梦婉"</f>
        <v>杨梦婉</v>
      </c>
      <c r="D53" s="7" t="str">
        <f>"女"</f>
        <v>女</v>
      </c>
      <c r="E53" s="7" t="str">
        <f>"22020100221"</f>
        <v>22020100221</v>
      </c>
      <c r="F53" s="7" t="str">
        <f t="shared" si="4"/>
        <v>002</v>
      </c>
      <c r="G53" s="7" t="str">
        <f>"21"</f>
        <v>21</v>
      </c>
      <c r="H53" s="7">
        <v>63.9</v>
      </c>
    </row>
    <row r="54" ht="22.95" customHeight="1" spans="1:8">
      <c r="A54" s="6">
        <v>52</v>
      </c>
      <c r="B54" s="7" t="str">
        <f t="shared" si="0"/>
        <v>01</v>
      </c>
      <c r="C54" s="7" t="str">
        <f>"惠崇"</f>
        <v>惠崇</v>
      </c>
      <c r="D54" s="7" t="str">
        <f>"男"</f>
        <v>男</v>
      </c>
      <c r="E54" s="7" t="str">
        <f>"22020100222"</f>
        <v>22020100222</v>
      </c>
      <c r="F54" s="7" t="str">
        <f t="shared" si="4"/>
        <v>002</v>
      </c>
      <c r="G54" s="7" t="str">
        <f>"22"</f>
        <v>22</v>
      </c>
      <c r="H54" s="7">
        <v>46.6</v>
      </c>
    </row>
    <row r="55" ht="22.95" customHeight="1" spans="1:8">
      <c r="A55" s="6">
        <v>53</v>
      </c>
      <c r="B55" s="7" t="str">
        <f t="shared" si="0"/>
        <v>01</v>
      </c>
      <c r="C55" s="7" t="str">
        <f>"罗乔玲"</f>
        <v>罗乔玲</v>
      </c>
      <c r="D55" s="7" t="str">
        <f>"女"</f>
        <v>女</v>
      </c>
      <c r="E55" s="7" t="str">
        <f>"22020100223"</f>
        <v>22020100223</v>
      </c>
      <c r="F55" s="7" t="str">
        <f t="shared" si="4"/>
        <v>002</v>
      </c>
      <c r="G55" s="7" t="str">
        <f>"23"</f>
        <v>23</v>
      </c>
      <c r="H55" s="7">
        <v>55.4</v>
      </c>
    </row>
    <row r="56" ht="22.95" customHeight="1" spans="1:8">
      <c r="A56" s="6">
        <v>54</v>
      </c>
      <c r="B56" s="7" t="str">
        <f t="shared" si="0"/>
        <v>01</v>
      </c>
      <c r="C56" s="7" t="str">
        <f>"王珂"</f>
        <v>王珂</v>
      </c>
      <c r="D56" s="7" t="str">
        <f>"男"</f>
        <v>男</v>
      </c>
      <c r="E56" s="7" t="str">
        <f>"22020100224"</f>
        <v>22020100224</v>
      </c>
      <c r="F56" s="7" t="str">
        <f t="shared" si="4"/>
        <v>002</v>
      </c>
      <c r="G56" s="7" t="str">
        <f>"24"</f>
        <v>24</v>
      </c>
      <c r="H56" s="7">
        <v>64.2</v>
      </c>
    </row>
    <row r="57" ht="22.95" customHeight="1" spans="1:8">
      <c r="A57" s="6">
        <v>55</v>
      </c>
      <c r="B57" s="7" t="str">
        <f t="shared" si="0"/>
        <v>01</v>
      </c>
      <c r="C57" s="7" t="str">
        <f>"张东旭"</f>
        <v>张东旭</v>
      </c>
      <c r="D57" s="7" t="str">
        <f>"男"</f>
        <v>男</v>
      </c>
      <c r="E57" s="7" t="str">
        <f>"22020100225"</f>
        <v>22020100225</v>
      </c>
      <c r="F57" s="7" t="str">
        <f t="shared" si="4"/>
        <v>002</v>
      </c>
      <c r="G57" s="7" t="str">
        <f>"25"</f>
        <v>25</v>
      </c>
      <c r="H57" s="7">
        <v>69.1</v>
      </c>
    </row>
    <row r="58" ht="22.95" customHeight="1" spans="1:8">
      <c r="A58" s="6">
        <v>56</v>
      </c>
      <c r="B58" s="7" t="str">
        <f t="shared" si="0"/>
        <v>01</v>
      </c>
      <c r="C58" s="7" t="str">
        <f>"文梦"</f>
        <v>文梦</v>
      </c>
      <c r="D58" s="7" t="str">
        <f>"男"</f>
        <v>男</v>
      </c>
      <c r="E58" s="7" t="str">
        <f>"22020100226"</f>
        <v>22020100226</v>
      </c>
      <c r="F58" s="7" t="str">
        <f t="shared" si="4"/>
        <v>002</v>
      </c>
      <c r="G58" s="7" t="str">
        <f>"26"</f>
        <v>26</v>
      </c>
      <c r="H58" s="7">
        <v>51.3</v>
      </c>
    </row>
    <row r="59" ht="22.95" customHeight="1" spans="1:8">
      <c r="A59" s="6">
        <v>57</v>
      </c>
      <c r="B59" s="7" t="str">
        <f t="shared" si="0"/>
        <v>01</v>
      </c>
      <c r="C59" s="7" t="str">
        <f>"乔延生"</f>
        <v>乔延生</v>
      </c>
      <c r="D59" s="7" t="str">
        <f>"男"</f>
        <v>男</v>
      </c>
      <c r="E59" s="7" t="str">
        <f>"22020100227"</f>
        <v>22020100227</v>
      </c>
      <c r="F59" s="7" t="str">
        <f t="shared" si="4"/>
        <v>002</v>
      </c>
      <c r="G59" s="7" t="str">
        <f>"27"</f>
        <v>27</v>
      </c>
      <c r="H59" s="7">
        <v>59.2</v>
      </c>
    </row>
    <row r="60" ht="22.95" customHeight="1" spans="1:8">
      <c r="A60" s="6">
        <v>58</v>
      </c>
      <c r="B60" s="7" t="str">
        <f t="shared" si="0"/>
        <v>01</v>
      </c>
      <c r="C60" s="7" t="str">
        <f>"韩小杰"</f>
        <v>韩小杰</v>
      </c>
      <c r="D60" s="7" t="str">
        <f>"女"</f>
        <v>女</v>
      </c>
      <c r="E60" s="7" t="str">
        <f>"22020100228"</f>
        <v>22020100228</v>
      </c>
      <c r="F60" s="7" t="str">
        <f t="shared" si="4"/>
        <v>002</v>
      </c>
      <c r="G60" s="7" t="str">
        <f>"28"</f>
        <v>28</v>
      </c>
      <c r="H60" s="7">
        <v>65.7</v>
      </c>
    </row>
    <row r="61" ht="22.95" customHeight="1" spans="1:8">
      <c r="A61" s="6">
        <v>59</v>
      </c>
      <c r="B61" s="7" t="str">
        <f t="shared" si="0"/>
        <v>01</v>
      </c>
      <c r="C61" s="7" t="str">
        <f>"李行"</f>
        <v>李行</v>
      </c>
      <c r="D61" s="7" t="str">
        <f>"男"</f>
        <v>男</v>
      </c>
      <c r="E61" s="7" t="str">
        <f>"22020100229"</f>
        <v>22020100229</v>
      </c>
      <c r="F61" s="7" t="str">
        <f t="shared" si="4"/>
        <v>002</v>
      </c>
      <c r="G61" s="7" t="str">
        <f>"29"</f>
        <v>29</v>
      </c>
      <c r="H61" s="7">
        <v>64.4</v>
      </c>
    </row>
    <row r="62" ht="22.95" customHeight="1" spans="1:8">
      <c r="A62" s="6">
        <v>60</v>
      </c>
      <c r="B62" s="7" t="str">
        <f t="shared" si="0"/>
        <v>01</v>
      </c>
      <c r="C62" s="7" t="str">
        <f>"仝玲"</f>
        <v>仝玲</v>
      </c>
      <c r="D62" s="7" t="str">
        <f>"女"</f>
        <v>女</v>
      </c>
      <c r="E62" s="7" t="str">
        <f>"22020100230"</f>
        <v>22020100230</v>
      </c>
      <c r="F62" s="7" t="str">
        <f t="shared" si="4"/>
        <v>002</v>
      </c>
      <c r="G62" s="7" t="str">
        <f>"30"</f>
        <v>30</v>
      </c>
      <c r="H62" s="7">
        <v>47.9</v>
      </c>
    </row>
    <row r="63" ht="22.95" customHeight="1" spans="1:8">
      <c r="A63" s="6">
        <v>61</v>
      </c>
      <c r="B63" s="7" t="str">
        <f t="shared" si="0"/>
        <v>01</v>
      </c>
      <c r="C63" s="7" t="str">
        <f>"王娟"</f>
        <v>王娟</v>
      </c>
      <c r="D63" s="7" t="str">
        <f>"女"</f>
        <v>女</v>
      </c>
      <c r="E63" s="7" t="str">
        <f>"22020100301"</f>
        <v>22020100301</v>
      </c>
      <c r="F63" s="7" t="str">
        <f t="shared" ref="F63:F92" si="6">"003"</f>
        <v>003</v>
      </c>
      <c r="G63" s="7" t="str">
        <f>"01"</f>
        <v>01</v>
      </c>
      <c r="H63" s="7">
        <v>64</v>
      </c>
    </row>
    <row r="64" ht="22.95" customHeight="1" spans="1:8">
      <c r="A64" s="6">
        <v>62</v>
      </c>
      <c r="B64" s="7" t="str">
        <f t="shared" si="0"/>
        <v>01</v>
      </c>
      <c r="C64" s="7" t="str">
        <f>"王傲蕾"</f>
        <v>王傲蕾</v>
      </c>
      <c r="D64" s="7" t="str">
        <f>"男"</f>
        <v>男</v>
      </c>
      <c r="E64" s="7" t="str">
        <f>"22020100302"</f>
        <v>22020100302</v>
      </c>
      <c r="F64" s="7" t="str">
        <f t="shared" si="6"/>
        <v>003</v>
      </c>
      <c r="G64" s="7" t="str">
        <f>"02"</f>
        <v>02</v>
      </c>
      <c r="H64" s="7" t="s">
        <v>9</v>
      </c>
    </row>
    <row r="65" ht="22.95" customHeight="1" spans="1:8">
      <c r="A65" s="6">
        <v>63</v>
      </c>
      <c r="B65" s="7" t="str">
        <f t="shared" si="0"/>
        <v>01</v>
      </c>
      <c r="C65" s="7" t="str">
        <f>"吕普"</f>
        <v>吕普</v>
      </c>
      <c r="D65" s="7" t="str">
        <f>"女"</f>
        <v>女</v>
      </c>
      <c r="E65" s="7" t="str">
        <f>"22020100303"</f>
        <v>22020100303</v>
      </c>
      <c r="F65" s="7" t="str">
        <f t="shared" si="6"/>
        <v>003</v>
      </c>
      <c r="G65" s="7" t="str">
        <f>"03"</f>
        <v>03</v>
      </c>
      <c r="H65" s="7">
        <v>64</v>
      </c>
    </row>
    <row r="66" ht="22.95" customHeight="1" spans="1:8">
      <c r="A66" s="6">
        <v>64</v>
      </c>
      <c r="B66" s="7" t="str">
        <f t="shared" si="0"/>
        <v>01</v>
      </c>
      <c r="C66" s="7" t="str">
        <f>"张昀"</f>
        <v>张昀</v>
      </c>
      <c r="D66" s="7" t="str">
        <f>"女"</f>
        <v>女</v>
      </c>
      <c r="E66" s="7" t="str">
        <f>"22020100304"</f>
        <v>22020100304</v>
      </c>
      <c r="F66" s="7" t="str">
        <f t="shared" si="6"/>
        <v>003</v>
      </c>
      <c r="G66" s="7" t="str">
        <f>"04"</f>
        <v>04</v>
      </c>
      <c r="H66" s="7">
        <v>68.6</v>
      </c>
    </row>
    <row r="67" ht="22.95" customHeight="1" spans="1:8">
      <c r="A67" s="6">
        <v>65</v>
      </c>
      <c r="B67" s="7" t="str">
        <f t="shared" ref="B67:B130" si="7">"01"</f>
        <v>01</v>
      </c>
      <c r="C67" s="7" t="str">
        <f>"刘源"</f>
        <v>刘源</v>
      </c>
      <c r="D67" s="7" t="str">
        <f>"男"</f>
        <v>男</v>
      </c>
      <c r="E67" s="7" t="str">
        <f>"22020100305"</f>
        <v>22020100305</v>
      </c>
      <c r="F67" s="7" t="str">
        <f t="shared" si="6"/>
        <v>003</v>
      </c>
      <c r="G67" s="7" t="str">
        <f>"05"</f>
        <v>05</v>
      </c>
      <c r="H67" s="7">
        <v>67.8</v>
      </c>
    </row>
    <row r="68" ht="22.95" customHeight="1" spans="1:8">
      <c r="A68" s="6">
        <v>66</v>
      </c>
      <c r="B68" s="7" t="str">
        <f t="shared" si="7"/>
        <v>01</v>
      </c>
      <c r="C68" s="7" t="str">
        <f>"周彦"</f>
        <v>周彦</v>
      </c>
      <c r="D68" s="7" t="str">
        <f>"女"</f>
        <v>女</v>
      </c>
      <c r="E68" s="7" t="str">
        <f>"22020100306"</f>
        <v>22020100306</v>
      </c>
      <c r="F68" s="7" t="str">
        <f t="shared" si="6"/>
        <v>003</v>
      </c>
      <c r="G68" s="7" t="str">
        <f>"06"</f>
        <v>06</v>
      </c>
      <c r="H68" s="7">
        <v>78</v>
      </c>
    </row>
    <row r="69" ht="22.95" customHeight="1" spans="1:8">
      <c r="A69" s="6">
        <v>67</v>
      </c>
      <c r="B69" s="7" t="str">
        <f t="shared" si="7"/>
        <v>01</v>
      </c>
      <c r="C69" s="7" t="str">
        <f>"朱玉鹏"</f>
        <v>朱玉鹏</v>
      </c>
      <c r="D69" s="7" t="str">
        <f>"男"</f>
        <v>男</v>
      </c>
      <c r="E69" s="7" t="str">
        <f>"22020100307"</f>
        <v>22020100307</v>
      </c>
      <c r="F69" s="7" t="str">
        <f t="shared" si="6"/>
        <v>003</v>
      </c>
      <c r="G69" s="7" t="str">
        <f>"07"</f>
        <v>07</v>
      </c>
      <c r="H69" s="7">
        <v>53.5</v>
      </c>
    </row>
    <row r="70" ht="22.95" customHeight="1" spans="1:8">
      <c r="A70" s="6">
        <v>68</v>
      </c>
      <c r="B70" s="7" t="str">
        <f t="shared" si="7"/>
        <v>01</v>
      </c>
      <c r="C70" s="7" t="str">
        <f>"王亚楠"</f>
        <v>王亚楠</v>
      </c>
      <c r="D70" s="7" t="str">
        <f>"男"</f>
        <v>男</v>
      </c>
      <c r="E70" s="7" t="str">
        <f>"22020100308"</f>
        <v>22020100308</v>
      </c>
      <c r="F70" s="7" t="str">
        <f t="shared" si="6"/>
        <v>003</v>
      </c>
      <c r="G70" s="7" t="str">
        <f>"08"</f>
        <v>08</v>
      </c>
      <c r="H70" s="7">
        <v>53.7</v>
      </c>
    </row>
    <row r="71" ht="22.95" customHeight="1" spans="1:8">
      <c r="A71" s="6">
        <v>69</v>
      </c>
      <c r="B71" s="7" t="str">
        <f t="shared" si="7"/>
        <v>01</v>
      </c>
      <c r="C71" s="7" t="str">
        <f>"沈艳艳"</f>
        <v>沈艳艳</v>
      </c>
      <c r="D71" s="7" t="str">
        <f>"女"</f>
        <v>女</v>
      </c>
      <c r="E71" s="7" t="str">
        <f>"22020100309"</f>
        <v>22020100309</v>
      </c>
      <c r="F71" s="7" t="str">
        <f t="shared" si="6"/>
        <v>003</v>
      </c>
      <c r="G71" s="7" t="str">
        <f>"09"</f>
        <v>09</v>
      </c>
      <c r="H71" s="7">
        <v>71.9</v>
      </c>
    </row>
    <row r="72" ht="22.95" customHeight="1" spans="1:8">
      <c r="A72" s="6">
        <v>70</v>
      </c>
      <c r="B72" s="7" t="str">
        <f t="shared" si="7"/>
        <v>01</v>
      </c>
      <c r="C72" s="7" t="str">
        <f>"宋丽丽"</f>
        <v>宋丽丽</v>
      </c>
      <c r="D72" s="7" t="str">
        <f>"女"</f>
        <v>女</v>
      </c>
      <c r="E72" s="7" t="str">
        <f>"22020100310"</f>
        <v>22020100310</v>
      </c>
      <c r="F72" s="7" t="str">
        <f t="shared" si="6"/>
        <v>003</v>
      </c>
      <c r="G72" s="7" t="str">
        <f>"10"</f>
        <v>10</v>
      </c>
      <c r="H72" s="7">
        <v>66.2</v>
      </c>
    </row>
    <row r="73" ht="22.95" customHeight="1" spans="1:8">
      <c r="A73" s="6">
        <v>71</v>
      </c>
      <c r="B73" s="7" t="str">
        <f t="shared" si="7"/>
        <v>01</v>
      </c>
      <c r="C73" s="7" t="str">
        <f>"周霜"</f>
        <v>周霜</v>
      </c>
      <c r="D73" s="7" t="str">
        <f>"男"</f>
        <v>男</v>
      </c>
      <c r="E73" s="7" t="str">
        <f>"22020100311"</f>
        <v>22020100311</v>
      </c>
      <c r="F73" s="7" t="str">
        <f t="shared" si="6"/>
        <v>003</v>
      </c>
      <c r="G73" s="7" t="str">
        <f>"11"</f>
        <v>11</v>
      </c>
      <c r="H73" s="7">
        <v>77.6</v>
      </c>
    </row>
    <row r="74" ht="22.95" customHeight="1" spans="1:8">
      <c r="A74" s="6">
        <v>72</v>
      </c>
      <c r="B74" s="7" t="str">
        <f t="shared" si="7"/>
        <v>01</v>
      </c>
      <c r="C74" s="7" t="str">
        <f>"李慧甫"</f>
        <v>李慧甫</v>
      </c>
      <c r="D74" s="7" t="str">
        <f>"女"</f>
        <v>女</v>
      </c>
      <c r="E74" s="7" t="str">
        <f>"22020100312"</f>
        <v>22020100312</v>
      </c>
      <c r="F74" s="7" t="str">
        <f t="shared" si="6"/>
        <v>003</v>
      </c>
      <c r="G74" s="7" t="str">
        <f>"12"</f>
        <v>12</v>
      </c>
      <c r="H74" s="7">
        <v>57.8</v>
      </c>
    </row>
    <row r="75" ht="22.95" customHeight="1" spans="1:8">
      <c r="A75" s="6">
        <v>73</v>
      </c>
      <c r="B75" s="7" t="str">
        <f t="shared" si="7"/>
        <v>01</v>
      </c>
      <c r="C75" s="7" t="str">
        <f>"牛占"</f>
        <v>牛占</v>
      </c>
      <c r="D75" s="7" t="str">
        <f>"男"</f>
        <v>男</v>
      </c>
      <c r="E75" s="7" t="str">
        <f>"22020100313"</f>
        <v>22020100313</v>
      </c>
      <c r="F75" s="7" t="str">
        <f t="shared" si="6"/>
        <v>003</v>
      </c>
      <c r="G75" s="7" t="str">
        <f>"13"</f>
        <v>13</v>
      </c>
      <c r="H75" s="7">
        <v>74.7</v>
      </c>
    </row>
    <row r="76" ht="22.95" customHeight="1" spans="1:8">
      <c r="A76" s="6">
        <v>74</v>
      </c>
      <c r="B76" s="7" t="str">
        <f t="shared" si="7"/>
        <v>01</v>
      </c>
      <c r="C76" s="7" t="str">
        <f>"吕岩水"</f>
        <v>吕岩水</v>
      </c>
      <c r="D76" s="7" t="str">
        <f>"男"</f>
        <v>男</v>
      </c>
      <c r="E76" s="7" t="str">
        <f>"22020100314"</f>
        <v>22020100314</v>
      </c>
      <c r="F76" s="7" t="str">
        <f t="shared" si="6"/>
        <v>003</v>
      </c>
      <c r="G76" s="7" t="str">
        <f>"14"</f>
        <v>14</v>
      </c>
      <c r="H76" s="7">
        <v>46.9</v>
      </c>
    </row>
    <row r="77" ht="22.95" customHeight="1" spans="1:8">
      <c r="A77" s="6">
        <v>75</v>
      </c>
      <c r="B77" s="7" t="str">
        <f t="shared" si="7"/>
        <v>01</v>
      </c>
      <c r="C77" s="7" t="str">
        <f>"沙敬生"</f>
        <v>沙敬生</v>
      </c>
      <c r="D77" s="7" t="str">
        <f>"男"</f>
        <v>男</v>
      </c>
      <c r="E77" s="7" t="str">
        <f>"22020100315"</f>
        <v>22020100315</v>
      </c>
      <c r="F77" s="7" t="str">
        <f t="shared" si="6"/>
        <v>003</v>
      </c>
      <c r="G77" s="7" t="str">
        <f>"15"</f>
        <v>15</v>
      </c>
      <c r="H77" s="7" t="s">
        <v>9</v>
      </c>
    </row>
    <row r="78" ht="22.95" customHeight="1" spans="1:8">
      <c r="A78" s="6">
        <v>76</v>
      </c>
      <c r="B78" s="7" t="str">
        <f t="shared" si="7"/>
        <v>01</v>
      </c>
      <c r="C78" s="7" t="str">
        <f>"魏丹"</f>
        <v>魏丹</v>
      </c>
      <c r="D78" s="7" t="str">
        <f>"女"</f>
        <v>女</v>
      </c>
      <c r="E78" s="7" t="str">
        <f>"22020100316"</f>
        <v>22020100316</v>
      </c>
      <c r="F78" s="7" t="str">
        <f t="shared" si="6"/>
        <v>003</v>
      </c>
      <c r="G78" s="7" t="str">
        <f>"16"</f>
        <v>16</v>
      </c>
      <c r="H78" s="7">
        <v>71.8</v>
      </c>
    </row>
    <row r="79" ht="22.95" customHeight="1" spans="1:8">
      <c r="A79" s="6">
        <v>77</v>
      </c>
      <c r="B79" s="7" t="str">
        <f t="shared" si="7"/>
        <v>01</v>
      </c>
      <c r="C79" s="7" t="str">
        <f>"王俊慧"</f>
        <v>王俊慧</v>
      </c>
      <c r="D79" s="7" t="str">
        <f>"女"</f>
        <v>女</v>
      </c>
      <c r="E79" s="7" t="str">
        <f>"22020100317"</f>
        <v>22020100317</v>
      </c>
      <c r="F79" s="7" t="str">
        <f t="shared" si="6"/>
        <v>003</v>
      </c>
      <c r="G79" s="7" t="str">
        <f>"17"</f>
        <v>17</v>
      </c>
      <c r="H79" s="7">
        <v>62.5</v>
      </c>
    </row>
    <row r="80" ht="22.95" customHeight="1" spans="1:8">
      <c r="A80" s="6">
        <v>78</v>
      </c>
      <c r="B80" s="7" t="str">
        <f t="shared" si="7"/>
        <v>01</v>
      </c>
      <c r="C80" s="7" t="str">
        <f>"李帅"</f>
        <v>李帅</v>
      </c>
      <c r="D80" s="7" t="str">
        <f>"男"</f>
        <v>男</v>
      </c>
      <c r="E80" s="7" t="str">
        <f>"22020100318"</f>
        <v>22020100318</v>
      </c>
      <c r="F80" s="7" t="str">
        <f t="shared" si="6"/>
        <v>003</v>
      </c>
      <c r="G80" s="7" t="str">
        <f>"18"</f>
        <v>18</v>
      </c>
      <c r="H80" s="7">
        <v>74.7</v>
      </c>
    </row>
    <row r="81" ht="22.95" customHeight="1" spans="1:8">
      <c r="A81" s="6">
        <v>79</v>
      </c>
      <c r="B81" s="7" t="str">
        <f t="shared" si="7"/>
        <v>01</v>
      </c>
      <c r="C81" s="7" t="str">
        <f>"朱家庆"</f>
        <v>朱家庆</v>
      </c>
      <c r="D81" s="7" t="str">
        <f>"男"</f>
        <v>男</v>
      </c>
      <c r="E81" s="7" t="str">
        <f>"22020100319"</f>
        <v>22020100319</v>
      </c>
      <c r="F81" s="7" t="str">
        <f t="shared" si="6"/>
        <v>003</v>
      </c>
      <c r="G81" s="7" t="str">
        <f>"19"</f>
        <v>19</v>
      </c>
      <c r="H81" s="7">
        <v>42.8</v>
      </c>
    </row>
    <row r="82" ht="22.95" customHeight="1" spans="1:8">
      <c r="A82" s="6">
        <v>80</v>
      </c>
      <c r="B82" s="7" t="str">
        <f t="shared" si="7"/>
        <v>01</v>
      </c>
      <c r="C82" s="7" t="str">
        <f>"陈培军"</f>
        <v>陈培军</v>
      </c>
      <c r="D82" s="7" t="str">
        <f>"男"</f>
        <v>男</v>
      </c>
      <c r="E82" s="7" t="str">
        <f>"22020100320"</f>
        <v>22020100320</v>
      </c>
      <c r="F82" s="7" t="str">
        <f t="shared" si="6"/>
        <v>003</v>
      </c>
      <c r="G82" s="7" t="str">
        <f>"20"</f>
        <v>20</v>
      </c>
      <c r="H82" s="7">
        <v>80.9</v>
      </c>
    </row>
    <row r="83" ht="22.95" customHeight="1" spans="1:8">
      <c r="A83" s="6">
        <v>81</v>
      </c>
      <c r="B83" s="7" t="str">
        <f t="shared" si="7"/>
        <v>01</v>
      </c>
      <c r="C83" s="7" t="str">
        <f>"李丽"</f>
        <v>李丽</v>
      </c>
      <c r="D83" s="7" t="str">
        <f>"女"</f>
        <v>女</v>
      </c>
      <c r="E83" s="7" t="str">
        <f>"22020100321"</f>
        <v>22020100321</v>
      </c>
      <c r="F83" s="7" t="str">
        <f t="shared" si="6"/>
        <v>003</v>
      </c>
      <c r="G83" s="7" t="str">
        <f>"21"</f>
        <v>21</v>
      </c>
      <c r="H83" s="7">
        <v>55.6</v>
      </c>
    </row>
    <row r="84" ht="22.95" customHeight="1" spans="1:8">
      <c r="A84" s="6">
        <v>82</v>
      </c>
      <c r="B84" s="7" t="str">
        <f t="shared" si="7"/>
        <v>01</v>
      </c>
      <c r="C84" s="7" t="str">
        <f>"赵延保"</f>
        <v>赵延保</v>
      </c>
      <c r="D84" s="7" t="str">
        <f>"男"</f>
        <v>男</v>
      </c>
      <c r="E84" s="7" t="str">
        <f>"22020100322"</f>
        <v>22020100322</v>
      </c>
      <c r="F84" s="7" t="str">
        <f t="shared" si="6"/>
        <v>003</v>
      </c>
      <c r="G84" s="7" t="str">
        <f>"22"</f>
        <v>22</v>
      </c>
      <c r="H84" s="7">
        <v>57</v>
      </c>
    </row>
    <row r="85" ht="22.95" customHeight="1" spans="1:8">
      <c r="A85" s="6">
        <v>83</v>
      </c>
      <c r="B85" s="7" t="str">
        <f t="shared" si="7"/>
        <v>01</v>
      </c>
      <c r="C85" s="7" t="str">
        <f>"耿江"</f>
        <v>耿江</v>
      </c>
      <c r="D85" s="7" t="str">
        <f>"男"</f>
        <v>男</v>
      </c>
      <c r="E85" s="7" t="str">
        <f>"22020100323"</f>
        <v>22020100323</v>
      </c>
      <c r="F85" s="7" t="str">
        <f t="shared" si="6"/>
        <v>003</v>
      </c>
      <c r="G85" s="7" t="str">
        <f>"23"</f>
        <v>23</v>
      </c>
      <c r="H85" s="7">
        <v>56.5</v>
      </c>
    </row>
    <row r="86" ht="22.95" customHeight="1" spans="1:8">
      <c r="A86" s="6">
        <v>84</v>
      </c>
      <c r="B86" s="7" t="str">
        <f t="shared" si="7"/>
        <v>01</v>
      </c>
      <c r="C86" s="7" t="str">
        <f>"张淼"</f>
        <v>张淼</v>
      </c>
      <c r="D86" s="7" t="str">
        <f>"女"</f>
        <v>女</v>
      </c>
      <c r="E86" s="7" t="str">
        <f>"22020100324"</f>
        <v>22020100324</v>
      </c>
      <c r="F86" s="7" t="str">
        <f t="shared" si="6"/>
        <v>003</v>
      </c>
      <c r="G86" s="7" t="str">
        <f>"24"</f>
        <v>24</v>
      </c>
      <c r="H86" s="7">
        <v>52</v>
      </c>
    </row>
    <row r="87" ht="22.95" customHeight="1" spans="1:8">
      <c r="A87" s="6">
        <v>85</v>
      </c>
      <c r="B87" s="7" t="str">
        <f t="shared" si="7"/>
        <v>01</v>
      </c>
      <c r="C87" s="7" t="str">
        <f>"贾大彬"</f>
        <v>贾大彬</v>
      </c>
      <c r="D87" s="7" t="str">
        <f>"男"</f>
        <v>男</v>
      </c>
      <c r="E87" s="7" t="str">
        <f>"22020100325"</f>
        <v>22020100325</v>
      </c>
      <c r="F87" s="7" t="str">
        <f t="shared" si="6"/>
        <v>003</v>
      </c>
      <c r="G87" s="7" t="str">
        <f>"25"</f>
        <v>25</v>
      </c>
      <c r="H87" s="7">
        <v>58.7</v>
      </c>
    </row>
    <row r="88" ht="22.95" customHeight="1" spans="1:8">
      <c r="A88" s="6">
        <v>86</v>
      </c>
      <c r="B88" s="7" t="str">
        <f t="shared" si="7"/>
        <v>01</v>
      </c>
      <c r="C88" s="7" t="str">
        <f>"刘卓勋"</f>
        <v>刘卓勋</v>
      </c>
      <c r="D88" s="7" t="str">
        <f>"男"</f>
        <v>男</v>
      </c>
      <c r="E88" s="7" t="str">
        <f>"22020100326"</f>
        <v>22020100326</v>
      </c>
      <c r="F88" s="7" t="str">
        <f t="shared" si="6"/>
        <v>003</v>
      </c>
      <c r="G88" s="7" t="str">
        <f>"26"</f>
        <v>26</v>
      </c>
      <c r="H88" s="7">
        <v>62.9</v>
      </c>
    </row>
    <row r="89" ht="22.95" customHeight="1" spans="1:8">
      <c r="A89" s="6">
        <v>87</v>
      </c>
      <c r="B89" s="7" t="str">
        <f t="shared" si="7"/>
        <v>01</v>
      </c>
      <c r="C89" s="7" t="str">
        <f>"田小显"</f>
        <v>田小显</v>
      </c>
      <c r="D89" s="7" t="str">
        <f>"男"</f>
        <v>男</v>
      </c>
      <c r="E89" s="7" t="str">
        <f>"22020100327"</f>
        <v>22020100327</v>
      </c>
      <c r="F89" s="7" t="str">
        <f t="shared" si="6"/>
        <v>003</v>
      </c>
      <c r="G89" s="7" t="str">
        <f>"27"</f>
        <v>27</v>
      </c>
      <c r="H89" s="7">
        <v>58.2</v>
      </c>
    </row>
    <row r="90" ht="22.95" customHeight="1" spans="1:8">
      <c r="A90" s="6">
        <v>88</v>
      </c>
      <c r="B90" s="7" t="str">
        <f t="shared" si="7"/>
        <v>01</v>
      </c>
      <c r="C90" s="7" t="str">
        <f>"张丹"</f>
        <v>张丹</v>
      </c>
      <c r="D90" s="7" t="str">
        <f>"女"</f>
        <v>女</v>
      </c>
      <c r="E90" s="7" t="str">
        <f>"22020100328"</f>
        <v>22020100328</v>
      </c>
      <c r="F90" s="7" t="str">
        <f t="shared" si="6"/>
        <v>003</v>
      </c>
      <c r="G90" s="7" t="str">
        <f>"28"</f>
        <v>28</v>
      </c>
      <c r="H90" s="7" t="s">
        <v>9</v>
      </c>
    </row>
    <row r="91" ht="22.95" customHeight="1" spans="1:8">
      <c r="A91" s="6">
        <v>89</v>
      </c>
      <c r="B91" s="7" t="str">
        <f t="shared" si="7"/>
        <v>01</v>
      </c>
      <c r="C91" s="7" t="str">
        <f>"赵洲"</f>
        <v>赵洲</v>
      </c>
      <c r="D91" s="7" t="str">
        <f>"男"</f>
        <v>男</v>
      </c>
      <c r="E91" s="7" t="str">
        <f>"22020100329"</f>
        <v>22020100329</v>
      </c>
      <c r="F91" s="7" t="str">
        <f t="shared" si="6"/>
        <v>003</v>
      </c>
      <c r="G91" s="7" t="str">
        <f>"29"</f>
        <v>29</v>
      </c>
      <c r="H91" s="7" t="s">
        <v>9</v>
      </c>
    </row>
    <row r="92" ht="22.95" customHeight="1" spans="1:8">
      <c r="A92" s="6">
        <v>90</v>
      </c>
      <c r="B92" s="7" t="str">
        <f t="shared" si="7"/>
        <v>01</v>
      </c>
      <c r="C92" s="7" t="str">
        <f>"闫晓阳"</f>
        <v>闫晓阳</v>
      </c>
      <c r="D92" s="7" t="str">
        <f>"男"</f>
        <v>男</v>
      </c>
      <c r="E92" s="7" t="str">
        <f>"22020100330"</f>
        <v>22020100330</v>
      </c>
      <c r="F92" s="7" t="str">
        <f t="shared" si="6"/>
        <v>003</v>
      </c>
      <c r="G92" s="7" t="str">
        <f>"30"</f>
        <v>30</v>
      </c>
      <c r="H92" s="7">
        <v>74.6</v>
      </c>
    </row>
    <row r="93" ht="22.95" customHeight="1" spans="1:8">
      <c r="A93" s="6">
        <v>91</v>
      </c>
      <c r="B93" s="7" t="str">
        <f t="shared" si="7"/>
        <v>01</v>
      </c>
      <c r="C93" s="7" t="str">
        <f>"常月"</f>
        <v>常月</v>
      </c>
      <c r="D93" s="7" t="str">
        <f>"女"</f>
        <v>女</v>
      </c>
      <c r="E93" s="7" t="str">
        <f>"22020100401"</f>
        <v>22020100401</v>
      </c>
      <c r="F93" s="7" t="str">
        <f t="shared" ref="F93:F122" si="8">"004"</f>
        <v>004</v>
      </c>
      <c r="G93" s="7" t="str">
        <f>"01"</f>
        <v>01</v>
      </c>
      <c r="H93" s="7">
        <v>68</v>
      </c>
    </row>
    <row r="94" ht="22.95" customHeight="1" spans="1:8">
      <c r="A94" s="6">
        <v>92</v>
      </c>
      <c r="B94" s="7" t="str">
        <f t="shared" si="7"/>
        <v>01</v>
      </c>
      <c r="C94" s="7" t="str">
        <f>"孔龙建"</f>
        <v>孔龙建</v>
      </c>
      <c r="D94" s="7" t="str">
        <f t="shared" ref="D94:D99" si="9">"男"</f>
        <v>男</v>
      </c>
      <c r="E94" s="7" t="str">
        <f>"22020100402"</f>
        <v>22020100402</v>
      </c>
      <c r="F94" s="7" t="str">
        <f t="shared" si="8"/>
        <v>004</v>
      </c>
      <c r="G94" s="7" t="str">
        <f>"02"</f>
        <v>02</v>
      </c>
      <c r="H94" s="7">
        <v>76.3</v>
      </c>
    </row>
    <row r="95" ht="22.95" customHeight="1" spans="1:8">
      <c r="A95" s="6">
        <v>93</v>
      </c>
      <c r="B95" s="7" t="str">
        <f t="shared" si="7"/>
        <v>01</v>
      </c>
      <c r="C95" s="7" t="str">
        <f>"常军民"</f>
        <v>常军民</v>
      </c>
      <c r="D95" s="7" t="str">
        <f t="shared" si="9"/>
        <v>男</v>
      </c>
      <c r="E95" s="7" t="str">
        <f>"22020100403"</f>
        <v>22020100403</v>
      </c>
      <c r="F95" s="7" t="str">
        <f t="shared" si="8"/>
        <v>004</v>
      </c>
      <c r="G95" s="7" t="str">
        <f>"03"</f>
        <v>03</v>
      </c>
      <c r="H95" s="7">
        <v>52.7</v>
      </c>
    </row>
    <row r="96" ht="22.95" customHeight="1" spans="1:8">
      <c r="A96" s="6">
        <v>94</v>
      </c>
      <c r="B96" s="7" t="str">
        <f t="shared" si="7"/>
        <v>01</v>
      </c>
      <c r="C96" s="7" t="str">
        <f>"徐峥"</f>
        <v>徐峥</v>
      </c>
      <c r="D96" s="7" t="str">
        <f t="shared" si="9"/>
        <v>男</v>
      </c>
      <c r="E96" s="7" t="str">
        <f>"22020100404"</f>
        <v>22020100404</v>
      </c>
      <c r="F96" s="7" t="str">
        <f t="shared" si="8"/>
        <v>004</v>
      </c>
      <c r="G96" s="7" t="str">
        <f>"04"</f>
        <v>04</v>
      </c>
      <c r="H96" s="7">
        <v>79.6</v>
      </c>
    </row>
    <row r="97" ht="22.95" customHeight="1" spans="1:8">
      <c r="A97" s="6">
        <v>95</v>
      </c>
      <c r="B97" s="7" t="str">
        <f t="shared" si="7"/>
        <v>01</v>
      </c>
      <c r="C97" s="7" t="str">
        <f>"雷长付"</f>
        <v>雷长付</v>
      </c>
      <c r="D97" s="7" t="str">
        <f t="shared" si="9"/>
        <v>男</v>
      </c>
      <c r="E97" s="7" t="str">
        <f>"22020100405"</f>
        <v>22020100405</v>
      </c>
      <c r="F97" s="7" t="str">
        <f t="shared" si="8"/>
        <v>004</v>
      </c>
      <c r="G97" s="7" t="str">
        <f>"05"</f>
        <v>05</v>
      </c>
      <c r="H97" s="7">
        <v>58.7</v>
      </c>
    </row>
    <row r="98" ht="22.95" customHeight="1" spans="1:8">
      <c r="A98" s="6">
        <v>96</v>
      </c>
      <c r="B98" s="7" t="str">
        <f t="shared" si="7"/>
        <v>01</v>
      </c>
      <c r="C98" s="7" t="str">
        <f>"李鑫"</f>
        <v>李鑫</v>
      </c>
      <c r="D98" s="7" t="str">
        <f t="shared" si="9"/>
        <v>男</v>
      </c>
      <c r="E98" s="7" t="str">
        <f>"22020100406"</f>
        <v>22020100406</v>
      </c>
      <c r="F98" s="7" t="str">
        <f t="shared" si="8"/>
        <v>004</v>
      </c>
      <c r="G98" s="7" t="str">
        <f>"06"</f>
        <v>06</v>
      </c>
      <c r="H98" s="7">
        <v>64.2</v>
      </c>
    </row>
    <row r="99" ht="22.95" customHeight="1" spans="1:8">
      <c r="A99" s="6">
        <v>97</v>
      </c>
      <c r="B99" s="7" t="str">
        <f t="shared" si="7"/>
        <v>01</v>
      </c>
      <c r="C99" s="7" t="str">
        <f>"罗彬枫"</f>
        <v>罗彬枫</v>
      </c>
      <c r="D99" s="7" t="str">
        <f t="shared" si="9"/>
        <v>男</v>
      </c>
      <c r="E99" s="7" t="str">
        <f>"22020100407"</f>
        <v>22020100407</v>
      </c>
      <c r="F99" s="7" t="str">
        <f t="shared" si="8"/>
        <v>004</v>
      </c>
      <c r="G99" s="7" t="str">
        <f>"07"</f>
        <v>07</v>
      </c>
      <c r="H99" s="7">
        <v>65.2</v>
      </c>
    </row>
    <row r="100" ht="22.95" customHeight="1" spans="1:8">
      <c r="A100" s="6">
        <v>98</v>
      </c>
      <c r="B100" s="7" t="str">
        <f t="shared" si="7"/>
        <v>01</v>
      </c>
      <c r="C100" s="7" t="str">
        <f>"程静"</f>
        <v>程静</v>
      </c>
      <c r="D100" s="7" t="str">
        <f>"女"</f>
        <v>女</v>
      </c>
      <c r="E100" s="7" t="str">
        <f>"22020100408"</f>
        <v>22020100408</v>
      </c>
      <c r="F100" s="7" t="str">
        <f t="shared" si="8"/>
        <v>004</v>
      </c>
      <c r="G100" s="7" t="str">
        <f>"08"</f>
        <v>08</v>
      </c>
      <c r="H100" s="7">
        <v>62.8</v>
      </c>
    </row>
    <row r="101" ht="22.95" customHeight="1" spans="1:8">
      <c r="A101" s="6">
        <v>99</v>
      </c>
      <c r="B101" s="7" t="str">
        <f t="shared" si="7"/>
        <v>01</v>
      </c>
      <c r="C101" s="7" t="str">
        <f>"陈杰"</f>
        <v>陈杰</v>
      </c>
      <c r="D101" s="7" t="str">
        <f t="shared" ref="D101:D110" si="10">"男"</f>
        <v>男</v>
      </c>
      <c r="E101" s="7" t="str">
        <f>"22020100409"</f>
        <v>22020100409</v>
      </c>
      <c r="F101" s="7" t="str">
        <f t="shared" si="8"/>
        <v>004</v>
      </c>
      <c r="G101" s="7" t="str">
        <f>"09"</f>
        <v>09</v>
      </c>
      <c r="H101" s="7">
        <v>66.8</v>
      </c>
    </row>
    <row r="102" ht="22.95" customHeight="1" spans="1:8">
      <c r="A102" s="6">
        <v>100</v>
      </c>
      <c r="B102" s="7" t="str">
        <f t="shared" si="7"/>
        <v>01</v>
      </c>
      <c r="C102" s="7" t="str">
        <f>"曲良宵"</f>
        <v>曲良宵</v>
      </c>
      <c r="D102" s="7" t="str">
        <f t="shared" si="10"/>
        <v>男</v>
      </c>
      <c r="E102" s="7" t="str">
        <f>"22020100410"</f>
        <v>22020100410</v>
      </c>
      <c r="F102" s="7" t="str">
        <f t="shared" si="8"/>
        <v>004</v>
      </c>
      <c r="G102" s="7" t="str">
        <f>"10"</f>
        <v>10</v>
      </c>
      <c r="H102" s="7">
        <v>59.3</v>
      </c>
    </row>
    <row r="103" ht="22.95" customHeight="1" spans="1:8">
      <c r="A103" s="6">
        <v>101</v>
      </c>
      <c r="B103" s="7" t="str">
        <f t="shared" si="7"/>
        <v>01</v>
      </c>
      <c r="C103" s="7" t="str">
        <f>"杨征"</f>
        <v>杨征</v>
      </c>
      <c r="D103" s="7" t="str">
        <f t="shared" si="10"/>
        <v>男</v>
      </c>
      <c r="E103" s="7" t="str">
        <f>"22020100411"</f>
        <v>22020100411</v>
      </c>
      <c r="F103" s="7" t="str">
        <f t="shared" si="8"/>
        <v>004</v>
      </c>
      <c r="G103" s="7" t="str">
        <f>"11"</f>
        <v>11</v>
      </c>
      <c r="H103" s="7">
        <v>62.4</v>
      </c>
    </row>
    <row r="104" ht="22.95" customHeight="1" spans="1:8">
      <c r="A104" s="6">
        <v>102</v>
      </c>
      <c r="B104" s="7" t="str">
        <f t="shared" si="7"/>
        <v>01</v>
      </c>
      <c r="C104" s="7" t="str">
        <f>"周博"</f>
        <v>周博</v>
      </c>
      <c r="D104" s="7" t="str">
        <f t="shared" si="10"/>
        <v>男</v>
      </c>
      <c r="E104" s="7" t="str">
        <f>"22020100412"</f>
        <v>22020100412</v>
      </c>
      <c r="F104" s="7" t="str">
        <f t="shared" si="8"/>
        <v>004</v>
      </c>
      <c r="G104" s="7" t="str">
        <f>"12"</f>
        <v>12</v>
      </c>
      <c r="H104" s="7">
        <v>56.9</v>
      </c>
    </row>
    <row r="105" ht="22.95" customHeight="1" spans="1:8">
      <c r="A105" s="6">
        <v>103</v>
      </c>
      <c r="B105" s="7" t="str">
        <f t="shared" si="7"/>
        <v>01</v>
      </c>
      <c r="C105" s="7" t="str">
        <f>"胡爽"</f>
        <v>胡爽</v>
      </c>
      <c r="D105" s="7" t="str">
        <f t="shared" si="10"/>
        <v>男</v>
      </c>
      <c r="E105" s="7" t="str">
        <f>"22020100413"</f>
        <v>22020100413</v>
      </c>
      <c r="F105" s="7" t="str">
        <f t="shared" si="8"/>
        <v>004</v>
      </c>
      <c r="G105" s="7" t="str">
        <f>"13"</f>
        <v>13</v>
      </c>
      <c r="H105" s="7" t="s">
        <v>9</v>
      </c>
    </row>
    <row r="106" ht="22.95" customHeight="1" spans="1:8">
      <c r="A106" s="6">
        <v>104</v>
      </c>
      <c r="B106" s="7" t="str">
        <f t="shared" si="7"/>
        <v>01</v>
      </c>
      <c r="C106" s="7" t="str">
        <f>"黄顺新"</f>
        <v>黄顺新</v>
      </c>
      <c r="D106" s="7" t="str">
        <f t="shared" si="10"/>
        <v>男</v>
      </c>
      <c r="E106" s="7" t="str">
        <f>"22020100414"</f>
        <v>22020100414</v>
      </c>
      <c r="F106" s="7" t="str">
        <f t="shared" si="8"/>
        <v>004</v>
      </c>
      <c r="G106" s="7" t="str">
        <f>"14"</f>
        <v>14</v>
      </c>
      <c r="H106" s="7">
        <v>55.4</v>
      </c>
    </row>
    <row r="107" ht="22.95" customHeight="1" spans="1:8">
      <c r="A107" s="6">
        <v>105</v>
      </c>
      <c r="B107" s="7" t="str">
        <f t="shared" si="7"/>
        <v>01</v>
      </c>
      <c r="C107" s="7" t="str">
        <f>"张凯旋"</f>
        <v>张凯旋</v>
      </c>
      <c r="D107" s="7" t="str">
        <f t="shared" si="10"/>
        <v>男</v>
      </c>
      <c r="E107" s="7" t="str">
        <f>"22020100415"</f>
        <v>22020100415</v>
      </c>
      <c r="F107" s="7" t="str">
        <f t="shared" si="8"/>
        <v>004</v>
      </c>
      <c r="G107" s="7" t="str">
        <f>"15"</f>
        <v>15</v>
      </c>
      <c r="H107" s="7">
        <v>58.3</v>
      </c>
    </row>
    <row r="108" ht="22.95" customHeight="1" spans="1:8">
      <c r="A108" s="6">
        <v>106</v>
      </c>
      <c r="B108" s="7" t="str">
        <f t="shared" si="7"/>
        <v>01</v>
      </c>
      <c r="C108" s="7" t="str">
        <f>"段孟"</f>
        <v>段孟</v>
      </c>
      <c r="D108" s="7" t="str">
        <f t="shared" si="10"/>
        <v>男</v>
      </c>
      <c r="E108" s="7" t="str">
        <f>"22020100416"</f>
        <v>22020100416</v>
      </c>
      <c r="F108" s="7" t="str">
        <f t="shared" si="8"/>
        <v>004</v>
      </c>
      <c r="G108" s="7" t="str">
        <f>"16"</f>
        <v>16</v>
      </c>
      <c r="H108" s="7">
        <v>77.6</v>
      </c>
    </row>
    <row r="109" ht="22.95" customHeight="1" spans="1:8">
      <c r="A109" s="6">
        <v>107</v>
      </c>
      <c r="B109" s="7" t="str">
        <f t="shared" si="7"/>
        <v>01</v>
      </c>
      <c r="C109" s="7" t="str">
        <f>"陈玉"</f>
        <v>陈玉</v>
      </c>
      <c r="D109" s="7" t="str">
        <f t="shared" si="10"/>
        <v>男</v>
      </c>
      <c r="E109" s="7" t="str">
        <f>"22020100417"</f>
        <v>22020100417</v>
      </c>
      <c r="F109" s="7" t="str">
        <f t="shared" si="8"/>
        <v>004</v>
      </c>
      <c r="G109" s="7" t="str">
        <f>"17"</f>
        <v>17</v>
      </c>
      <c r="H109" s="7">
        <v>48.7</v>
      </c>
    </row>
    <row r="110" ht="22.95" customHeight="1" spans="1:8">
      <c r="A110" s="6">
        <v>108</v>
      </c>
      <c r="B110" s="7" t="str">
        <f t="shared" si="7"/>
        <v>01</v>
      </c>
      <c r="C110" s="7" t="str">
        <f>"韩罡"</f>
        <v>韩罡</v>
      </c>
      <c r="D110" s="7" t="str">
        <f t="shared" si="10"/>
        <v>男</v>
      </c>
      <c r="E110" s="7" t="str">
        <f>"22020100418"</f>
        <v>22020100418</v>
      </c>
      <c r="F110" s="7" t="str">
        <f t="shared" si="8"/>
        <v>004</v>
      </c>
      <c r="G110" s="7" t="str">
        <f>"18"</f>
        <v>18</v>
      </c>
      <c r="H110" s="7">
        <v>62.6</v>
      </c>
    </row>
    <row r="111" ht="22.95" customHeight="1" spans="1:8">
      <c r="A111" s="6">
        <v>109</v>
      </c>
      <c r="B111" s="7" t="str">
        <f t="shared" si="7"/>
        <v>01</v>
      </c>
      <c r="C111" s="7" t="str">
        <f>"赵妍"</f>
        <v>赵妍</v>
      </c>
      <c r="D111" s="7" t="str">
        <f>"女"</f>
        <v>女</v>
      </c>
      <c r="E111" s="7" t="str">
        <f>"22020100419"</f>
        <v>22020100419</v>
      </c>
      <c r="F111" s="7" t="str">
        <f t="shared" si="8"/>
        <v>004</v>
      </c>
      <c r="G111" s="7" t="str">
        <f>"19"</f>
        <v>19</v>
      </c>
      <c r="H111" s="7">
        <v>56.5</v>
      </c>
    </row>
    <row r="112" ht="22.95" customHeight="1" spans="1:8">
      <c r="A112" s="6">
        <v>110</v>
      </c>
      <c r="B112" s="7" t="str">
        <f t="shared" si="7"/>
        <v>01</v>
      </c>
      <c r="C112" s="7" t="str">
        <f>"刘恒坦"</f>
        <v>刘恒坦</v>
      </c>
      <c r="D112" s="7" t="str">
        <f t="shared" ref="D112:D117" si="11">"男"</f>
        <v>男</v>
      </c>
      <c r="E112" s="7" t="str">
        <f>"22020100420"</f>
        <v>22020100420</v>
      </c>
      <c r="F112" s="7" t="str">
        <f t="shared" si="8"/>
        <v>004</v>
      </c>
      <c r="G112" s="7" t="str">
        <f>"20"</f>
        <v>20</v>
      </c>
      <c r="H112" s="7">
        <v>70.2</v>
      </c>
    </row>
    <row r="113" ht="22.95" customHeight="1" spans="1:8">
      <c r="A113" s="6">
        <v>111</v>
      </c>
      <c r="B113" s="7" t="str">
        <f t="shared" si="7"/>
        <v>01</v>
      </c>
      <c r="C113" s="7" t="str">
        <f>"陈晨"</f>
        <v>陈晨</v>
      </c>
      <c r="D113" s="7" t="str">
        <f t="shared" si="11"/>
        <v>男</v>
      </c>
      <c r="E113" s="7" t="str">
        <f>"22020100421"</f>
        <v>22020100421</v>
      </c>
      <c r="F113" s="7" t="str">
        <f t="shared" si="8"/>
        <v>004</v>
      </c>
      <c r="G113" s="7" t="str">
        <f>"21"</f>
        <v>21</v>
      </c>
      <c r="H113" s="7">
        <v>63.6</v>
      </c>
    </row>
    <row r="114" ht="22.95" customHeight="1" spans="1:8">
      <c r="A114" s="6">
        <v>112</v>
      </c>
      <c r="B114" s="7" t="str">
        <f t="shared" si="7"/>
        <v>01</v>
      </c>
      <c r="C114" s="7" t="str">
        <f>"杜亚飞"</f>
        <v>杜亚飞</v>
      </c>
      <c r="D114" s="7" t="str">
        <f t="shared" si="11"/>
        <v>男</v>
      </c>
      <c r="E114" s="7" t="str">
        <f>"22020100422"</f>
        <v>22020100422</v>
      </c>
      <c r="F114" s="7" t="str">
        <f t="shared" si="8"/>
        <v>004</v>
      </c>
      <c r="G114" s="7" t="str">
        <f>"22"</f>
        <v>22</v>
      </c>
      <c r="H114" s="7">
        <v>61.5</v>
      </c>
    </row>
    <row r="115" ht="22.95" customHeight="1" spans="1:8">
      <c r="A115" s="6">
        <v>113</v>
      </c>
      <c r="B115" s="7" t="str">
        <f t="shared" si="7"/>
        <v>01</v>
      </c>
      <c r="C115" s="7" t="str">
        <f>"李想"</f>
        <v>李想</v>
      </c>
      <c r="D115" s="7" t="str">
        <f t="shared" si="11"/>
        <v>男</v>
      </c>
      <c r="E115" s="7" t="str">
        <f>"22020100423"</f>
        <v>22020100423</v>
      </c>
      <c r="F115" s="7" t="str">
        <f t="shared" si="8"/>
        <v>004</v>
      </c>
      <c r="G115" s="7" t="str">
        <f>"23"</f>
        <v>23</v>
      </c>
      <c r="H115" s="7" t="s">
        <v>9</v>
      </c>
    </row>
    <row r="116" ht="22.95" customHeight="1" spans="1:8">
      <c r="A116" s="6">
        <v>114</v>
      </c>
      <c r="B116" s="7" t="str">
        <f t="shared" si="7"/>
        <v>01</v>
      </c>
      <c r="C116" s="7" t="str">
        <f>"袁贝贝"</f>
        <v>袁贝贝</v>
      </c>
      <c r="D116" s="7" t="str">
        <f t="shared" si="11"/>
        <v>男</v>
      </c>
      <c r="E116" s="7" t="str">
        <f>"22020100424"</f>
        <v>22020100424</v>
      </c>
      <c r="F116" s="7" t="str">
        <f t="shared" si="8"/>
        <v>004</v>
      </c>
      <c r="G116" s="7" t="str">
        <f>"24"</f>
        <v>24</v>
      </c>
      <c r="H116" s="7">
        <v>71.9</v>
      </c>
    </row>
    <row r="117" ht="22.95" customHeight="1" spans="1:8">
      <c r="A117" s="6">
        <v>115</v>
      </c>
      <c r="B117" s="7" t="str">
        <f t="shared" si="7"/>
        <v>01</v>
      </c>
      <c r="C117" s="7" t="str">
        <f>"曾范冬"</f>
        <v>曾范冬</v>
      </c>
      <c r="D117" s="7" t="str">
        <f t="shared" si="11"/>
        <v>男</v>
      </c>
      <c r="E117" s="7" t="str">
        <f>"22020100425"</f>
        <v>22020100425</v>
      </c>
      <c r="F117" s="7" t="str">
        <f t="shared" si="8"/>
        <v>004</v>
      </c>
      <c r="G117" s="7" t="str">
        <f>"25"</f>
        <v>25</v>
      </c>
      <c r="H117" s="7">
        <v>60.8</v>
      </c>
    </row>
    <row r="118" ht="22.95" customHeight="1" spans="1:8">
      <c r="A118" s="6">
        <v>116</v>
      </c>
      <c r="B118" s="7" t="str">
        <f t="shared" si="7"/>
        <v>01</v>
      </c>
      <c r="C118" s="7" t="str">
        <f>"郭晓茵"</f>
        <v>郭晓茵</v>
      </c>
      <c r="D118" s="7" t="str">
        <f>"女"</f>
        <v>女</v>
      </c>
      <c r="E118" s="7" t="str">
        <f>"22020100426"</f>
        <v>22020100426</v>
      </c>
      <c r="F118" s="7" t="str">
        <f t="shared" si="8"/>
        <v>004</v>
      </c>
      <c r="G118" s="7" t="str">
        <f>"26"</f>
        <v>26</v>
      </c>
      <c r="H118" s="7">
        <v>69.5</v>
      </c>
    </row>
    <row r="119" ht="22.95" customHeight="1" spans="1:8">
      <c r="A119" s="6">
        <v>117</v>
      </c>
      <c r="B119" s="7" t="str">
        <f t="shared" si="7"/>
        <v>01</v>
      </c>
      <c r="C119" s="7" t="str">
        <f>"张业卓"</f>
        <v>张业卓</v>
      </c>
      <c r="D119" s="7" t="str">
        <f>"男"</f>
        <v>男</v>
      </c>
      <c r="E119" s="7" t="str">
        <f>"22020100427"</f>
        <v>22020100427</v>
      </c>
      <c r="F119" s="7" t="str">
        <f t="shared" si="8"/>
        <v>004</v>
      </c>
      <c r="G119" s="7" t="str">
        <f>"27"</f>
        <v>27</v>
      </c>
      <c r="H119" s="7">
        <v>64.1</v>
      </c>
    </row>
    <row r="120" ht="22.95" customHeight="1" spans="1:8">
      <c r="A120" s="6">
        <v>118</v>
      </c>
      <c r="B120" s="7" t="str">
        <f t="shared" si="7"/>
        <v>01</v>
      </c>
      <c r="C120" s="7" t="str">
        <f>"王贝贝"</f>
        <v>王贝贝</v>
      </c>
      <c r="D120" s="7" t="str">
        <f>"女"</f>
        <v>女</v>
      </c>
      <c r="E120" s="7" t="str">
        <f>"22020100428"</f>
        <v>22020100428</v>
      </c>
      <c r="F120" s="7" t="str">
        <f t="shared" si="8"/>
        <v>004</v>
      </c>
      <c r="G120" s="7" t="str">
        <f>"28"</f>
        <v>28</v>
      </c>
      <c r="H120" s="7">
        <v>73</v>
      </c>
    </row>
    <row r="121" ht="22.95" customHeight="1" spans="1:8">
      <c r="A121" s="6">
        <v>119</v>
      </c>
      <c r="B121" s="7" t="str">
        <f t="shared" si="7"/>
        <v>01</v>
      </c>
      <c r="C121" s="7" t="str">
        <f>"刘柳"</f>
        <v>刘柳</v>
      </c>
      <c r="D121" s="7" t="str">
        <f>"女"</f>
        <v>女</v>
      </c>
      <c r="E121" s="7" t="str">
        <f>"22020100429"</f>
        <v>22020100429</v>
      </c>
      <c r="F121" s="7" t="str">
        <f t="shared" si="8"/>
        <v>004</v>
      </c>
      <c r="G121" s="7" t="str">
        <f>"29"</f>
        <v>29</v>
      </c>
      <c r="H121" s="7">
        <v>67.1</v>
      </c>
    </row>
    <row r="122" ht="22.95" customHeight="1" spans="1:8">
      <c r="A122" s="6">
        <v>120</v>
      </c>
      <c r="B122" s="7" t="str">
        <f t="shared" si="7"/>
        <v>01</v>
      </c>
      <c r="C122" s="7" t="str">
        <f>"方进"</f>
        <v>方进</v>
      </c>
      <c r="D122" s="7" t="str">
        <f>"男"</f>
        <v>男</v>
      </c>
      <c r="E122" s="7" t="str">
        <f>"22020100430"</f>
        <v>22020100430</v>
      </c>
      <c r="F122" s="7" t="str">
        <f t="shared" si="8"/>
        <v>004</v>
      </c>
      <c r="G122" s="7" t="str">
        <f>"30"</f>
        <v>30</v>
      </c>
      <c r="H122" s="7">
        <v>70</v>
      </c>
    </row>
    <row r="123" ht="22.95" customHeight="1" spans="1:8">
      <c r="A123" s="6">
        <v>121</v>
      </c>
      <c r="B123" s="7" t="str">
        <f t="shared" si="7"/>
        <v>01</v>
      </c>
      <c r="C123" s="7" t="str">
        <f>"杜腾飞"</f>
        <v>杜腾飞</v>
      </c>
      <c r="D123" s="7" t="str">
        <f>"男"</f>
        <v>男</v>
      </c>
      <c r="E123" s="7" t="str">
        <f>"22020100501"</f>
        <v>22020100501</v>
      </c>
      <c r="F123" s="7" t="str">
        <f t="shared" ref="F123:F152" si="12">"005"</f>
        <v>005</v>
      </c>
      <c r="G123" s="7" t="str">
        <f>"01"</f>
        <v>01</v>
      </c>
      <c r="H123" s="7">
        <v>55.7</v>
      </c>
    </row>
    <row r="124" ht="22.95" customHeight="1" spans="1:8">
      <c r="A124" s="6">
        <v>122</v>
      </c>
      <c r="B124" s="7" t="str">
        <f t="shared" si="7"/>
        <v>01</v>
      </c>
      <c r="C124" s="7" t="str">
        <f>"李亚"</f>
        <v>李亚</v>
      </c>
      <c r="D124" s="7" t="str">
        <f>"女"</f>
        <v>女</v>
      </c>
      <c r="E124" s="7" t="str">
        <f>"22020100502"</f>
        <v>22020100502</v>
      </c>
      <c r="F124" s="7" t="str">
        <f t="shared" si="12"/>
        <v>005</v>
      </c>
      <c r="G124" s="7" t="str">
        <f>"02"</f>
        <v>02</v>
      </c>
      <c r="H124" s="7">
        <v>57.1</v>
      </c>
    </row>
    <row r="125" ht="22.95" customHeight="1" spans="1:8">
      <c r="A125" s="6">
        <v>123</v>
      </c>
      <c r="B125" s="7" t="str">
        <f t="shared" si="7"/>
        <v>01</v>
      </c>
      <c r="C125" s="7" t="str">
        <f>"周斌"</f>
        <v>周斌</v>
      </c>
      <c r="D125" s="7" t="str">
        <f>"男"</f>
        <v>男</v>
      </c>
      <c r="E125" s="7" t="str">
        <f>"22020100503"</f>
        <v>22020100503</v>
      </c>
      <c r="F125" s="7" t="str">
        <f t="shared" si="12"/>
        <v>005</v>
      </c>
      <c r="G125" s="7" t="str">
        <f>"03"</f>
        <v>03</v>
      </c>
      <c r="H125" s="7" t="s">
        <v>9</v>
      </c>
    </row>
    <row r="126" ht="22.95" customHeight="1" spans="1:8">
      <c r="A126" s="6">
        <v>124</v>
      </c>
      <c r="B126" s="7" t="str">
        <f t="shared" si="7"/>
        <v>01</v>
      </c>
      <c r="C126" s="7" t="str">
        <f>"段琪"</f>
        <v>段琪</v>
      </c>
      <c r="D126" s="7" t="str">
        <f>"女"</f>
        <v>女</v>
      </c>
      <c r="E126" s="7" t="str">
        <f>"22020100504"</f>
        <v>22020100504</v>
      </c>
      <c r="F126" s="7" t="str">
        <f t="shared" si="12"/>
        <v>005</v>
      </c>
      <c r="G126" s="7" t="str">
        <f>"04"</f>
        <v>04</v>
      </c>
      <c r="H126" s="7">
        <v>71</v>
      </c>
    </row>
    <row r="127" ht="22.95" customHeight="1" spans="1:8">
      <c r="A127" s="6">
        <v>125</v>
      </c>
      <c r="B127" s="7" t="str">
        <f t="shared" si="7"/>
        <v>01</v>
      </c>
      <c r="C127" s="7" t="str">
        <f>"崔东升"</f>
        <v>崔东升</v>
      </c>
      <c r="D127" s="7" t="str">
        <f>"男"</f>
        <v>男</v>
      </c>
      <c r="E127" s="7" t="str">
        <f>"22020100505"</f>
        <v>22020100505</v>
      </c>
      <c r="F127" s="7" t="str">
        <f t="shared" si="12"/>
        <v>005</v>
      </c>
      <c r="G127" s="7" t="str">
        <f>"05"</f>
        <v>05</v>
      </c>
      <c r="H127" s="7">
        <v>66.7</v>
      </c>
    </row>
    <row r="128" ht="22.95" customHeight="1" spans="1:8">
      <c r="A128" s="6">
        <v>126</v>
      </c>
      <c r="B128" s="7" t="str">
        <f t="shared" si="7"/>
        <v>01</v>
      </c>
      <c r="C128" s="7" t="str">
        <f>"王童馨"</f>
        <v>王童馨</v>
      </c>
      <c r="D128" s="7" t="str">
        <f>"女"</f>
        <v>女</v>
      </c>
      <c r="E128" s="7" t="str">
        <f>"22020100506"</f>
        <v>22020100506</v>
      </c>
      <c r="F128" s="7" t="str">
        <f t="shared" si="12"/>
        <v>005</v>
      </c>
      <c r="G128" s="7" t="str">
        <f>"06"</f>
        <v>06</v>
      </c>
      <c r="H128" s="7">
        <v>62.3</v>
      </c>
    </row>
    <row r="129" ht="22.95" customHeight="1" spans="1:8">
      <c r="A129" s="6">
        <v>127</v>
      </c>
      <c r="B129" s="7" t="str">
        <f t="shared" si="7"/>
        <v>01</v>
      </c>
      <c r="C129" s="7" t="str">
        <f>"朱源洋"</f>
        <v>朱源洋</v>
      </c>
      <c r="D129" s="7" t="str">
        <f>"男"</f>
        <v>男</v>
      </c>
      <c r="E129" s="7" t="str">
        <f>"22020100507"</f>
        <v>22020100507</v>
      </c>
      <c r="F129" s="7" t="str">
        <f t="shared" si="12"/>
        <v>005</v>
      </c>
      <c r="G129" s="7" t="str">
        <f>"07"</f>
        <v>07</v>
      </c>
      <c r="H129" s="7">
        <v>54.5</v>
      </c>
    </row>
    <row r="130" ht="22.95" customHeight="1" spans="1:8">
      <c r="A130" s="6">
        <v>128</v>
      </c>
      <c r="B130" s="7" t="str">
        <f t="shared" si="7"/>
        <v>01</v>
      </c>
      <c r="C130" s="7" t="str">
        <f>"扈爽"</f>
        <v>扈爽</v>
      </c>
      <c r="D130" s="7" t="str">
        <f>"女"</f>
        <v>女</v>
      </c>
      <c r="E130" s="7" t="str">
        <f>"22020100508"</f>
        <v>22020100508</v>
      </c>
      <c r="F130" s="7" t="str">
        <f t="shared" si="12"/>
        <v>005</v>
      </c>
      <c r="G130" s="7" t="str">
        <f>"08"</f>
        <v>08</v>
      </c>
      <c r="H130" s="7" t="s">
        <v>9</v>
      </c>
    </row>
    <row r="131" ht="22.95" customHeight="1" spans="1:8">
      <c r="A131" s="6">
        <v>129</v>
      </c>
      <c r="B131" s="7" t="str">
        <f t="shared" ref="B131:B194" si="13">"01"</f>
        <v>01</v>
      </c>
      <c r="C131" s="7" t="str">
        <f>"曲逸"</f>
        <v>曲逸</v>
      </c>
      <c r="D131" s="7" t="str">
        <f>"男"</f>
        <v>男</v>
      </c>
      <c r="E131" s="7" t="str">
        <f>"22020100509"</f>
        <v>22020100509</v>
      </c>
      <c r="F131" s="7" t="str">
        <f t="shared" si="12"/>
        <v>005</v>
      </c>
      <c r="G131" s="7" t="str">
        <f>"09"</f>
        <v>09</v>
      </c>
      <c r="H131" s="7">
        <v>59.3</v>
      </c>
    </row>
    <row r="132" ht="22.95" customHeight="1" spans="1:8">
      <c r="A132" s="6">
        <v>130</v>
      </c>
      <c r="B132" s="7" t="str">
        <f t="shared" si="13"/>
        <v>01</v>
      </c>
      <c r="C132" s="7" t="str">
        <f>"狄文正"</f>
        <v>狄文正</v>
      </c>
      <c r="D132" s="7" t="str">
        <f>"男"</f>
        <v>男</v>
      </c>
      <c r="E132" s="7" t="str">
        <f>"22020100510"</f>
        <v>22020100510</v>
      </c>
      <c r="F132" s="7" t="str">
        <f t="shared" si="12"/>
        <v>005</v>
      </c>
      <c r="G132" s="7" t="str">
        <f>"10"</f>
        <v>10</v>
      </c>
      <c r="H132" s="7">
        <v>56.3</v>
      </c>
    </row>
    <row r="133" ht="22.95" customHeight="1" spans="1:8">
      <c r="A133" s="6">
        <v>131</v>
      </c>
      <c r="B133" s="7" t="str">
        <f t="shared" si="13"/>
        <v>01</v>
      </c>
      <c r="C133" s="7" t="str">
        <f>"白宇"</f>
        <v>白宇</v>
      </c>
      <c r="D133" s="7" t="str">
        <f>"女"</f>
        <v>女</v>
      </c>
      <c r="E133" s="7" t="str">
        <f>"22020100511"</f>
        <v>22020100511</v>
      </c>
      <c r="F133" s="7" t="str">
        <f t="shared" si="12"/>
        <v>005</v>
      </c>
      <c r="G133" s="7" t="str">
        <f>"11"</f>
        <v>11</v>
      </c>
      <c r="H133" s="7">
        <v>63.1</v>
      </c>
    </row>
    <row r="134" ht="22.95" customHeight="1" spans="1:8">
      <c r="A134" s="6">
        <v>132</v>
      </c>
      <c r="B134" s="7" t="str">
        <f t="shared" si="13"/>
        <v>01</v>
      </c>
      <c r="C134" s="7" t="str">
        <f>"张静"</f>
        <v>张静</v>
      </c>
      <c r="D134" s="7" t="str">
        <f>"女"</f>
        <v>女</v>
      </c>
      <c r="E134" s="7" t="str">
        <f>"22020100512"</f>
        <v>22020100512</v>
      </c>
      <c r="F134" s="7" t="str">
        <f t="shared" si="12"/>
        <v>005</v>
      </c>
      <c r="G134" s="7" t="str">
        <f>"12"</f>
        <v>12</v>
      </c>
      <c r="H134" s="7">
        <v>62.4</v>
      </c>
    </row>
    <row r="135" ht="22.95" customHeight="1" spans="1:8">
      <c r="A135" s="6">
        <v>133</v>
      </c>
      <c r="B135" s="7" t="str">
        <f t="shared" si="13"/>
        <v>01</v>
      </c>
      <c r="C135" s="7" t="str">
        <f>"张森"</f>
        <v>张森</v>
      </c>
      <c r="D135" s="7" t="str">
        <f>"男"</f>
        <v>男</v>
      </c>
      <c r="E135" s="7" t="str">
        <f>"22020100513"</f>
        <v>22020100513</v>
      </c>
      <c r="F135" s="7" t="str">
        <f t="shared" si="12"/>
        <v>005</v>
      </c>
      <c r="G135" s="7" t="str">
        <f>"13"</f>
        <v>13</v>
      </c>
      <c r="H135" s="7">
        <v>74.6</v>
      </c>
    </row>
    <row r="136" ht="22.95" customHeight="1" spans="1:8">
      <c r="A136" s="6">
        <v>134</v>
      </c>
      <c r="B136" s="7" t="str">
        <f t="shared" si="13"/>
        <v>01</v>
      </c>
      <c r="C136" s="7" t="str">
        <f>"杜丽丽"</f>
        <v>杜丽丽</v>
      </c>
      <c r="D136" s="7" t="str">
        <f>"女"</f>
        <v>女</v>
      </c>
      <c r="E136" s="7" t="str">
        <f>"22020100514"</f>
        <v>22020100514</v>
      </c>
      <c r="F136" s="7" t="str">
        <f t="shared" si="12"/>
        <v>005</v>
      </c>
      <c r="G136" s="7" t="str">
        <f>"14"</f>
        <v>14</v>
      </c>
      <c r="H136" s="7">
        <v>64.7</v>
      </c>
    </row>
    <row r="137" ht="22.95" customHeight="1" spans="1:8">
      <c r="A137" s="6">
        <v>135</v>
      </c>
      <c r="B137" s="7" t="str">
        <f t="shared" si="13"/>
        <v>01</v>
      </c>
      <c r="C137" s="7" t="str">
        <f>"周倩"</f>
        <v>周倩</v>
      </c>
      <c r="D137" s="7" t="str">
        <f>"女"</f>
        <v>女</v>
      </c>
      <c r="E137" s="7" t="str">
        <f>"22020100515"</f>
        <v>22020100515</v>
      </c>
      <c r="F137" s="7" t="str">
        <f t="shared" si="12"/>
        <v>005</v>
      </c>
      <c r="G137" s="7" t="str">
        <f>"15"</f>
        <v>15</v>
      </c>
      <c r="H137" s="7">
        <v>64.2</v>
      </c>
    </row>
    <row r="138" ht="22.95" customHeight="1" spans="1:8">
      <c r="A138" s="6">
        <v>136</v>
      </c>
      <c r="B138" s="7" t="str">
        <f t="shared" si="13"/>
        <v>01</v>
      </c>
      <c r="C138" s="7" t="str">
        <f>"邱岭"</f>
        <v>邱岭</v>
      </c>
      <c r="D138" s="7" t="str">
        <f>"男"</f>
        <v>男</v>
      </c>
      <c r="E138" s="7" t="str">
        <f>"22020100516"</f>
        <v>22020100516</v>
      </c>
      <c r="F138" s="7" t="str">
        <f t="shared" si="12"/>
        <v>005</v>
      </c>
      <c r="G138" s="7" t="str">
        <f>"16"</f>
        <v>16</v>
      </c>
      <c r="H138" s="7">
        <v>74</v>
      </c>
    </row>
    <row r="139" ht="22.95" customHeight="1" spans="1:8">
      <c r="A139" s="6">
        <v>137</v>
      </c>
      <c r="B139" s="7" t="str">
        <f t="shared" si="13"/>
        <v>01</v>
      </c>
      <c r="C139" s="7" t="str">
        <f>"刘成"</f>
        <v>刘成</v>
      </c>
      <c r="D139" s="7" t="str">
        <f>"男"</f>
        <v>男</v>
      </c>
      <c r="E139" s="7" t="str">
        <f>"22020100517"</f>
        <v>22020100517</v>
      </c>
      <c r="F139" s="7" t="str">
        <f t="shared" si="12"/>
        <v>005</v>
      </c>
      <c r="G139" s="7" t="str">
        <f>"17"</f>
        <v>17</v>
      </c>
      <c r="H139" s="7">
        <v>64.9</v>
      </c>
    </row>
    <row r="140" ht="22.95" customHeight="1" spans="1:8">
      <c r="A140" s="6">
        <v>138</v>
      </c>
      <c r="B140" s="7" t="str">
        <f t="shared" si="13"/>
        <v>01</v>
      </c>
      <c r="C140" s="7" t="str">
        <f>"邢海磊"</f>
        <v>邢海磊</v>
      </c>
      <c r="D140" s="7" t="str">
        <f>"男"</f>
        <v>男</v>
      </c>
      <c r="E140" s="7" t="str">
        <f>"22020100518"</f>
        <v>22020100518</v>
      </c>
      <c r="F140" s="7" t="str">
        <f t="shared" si="12"/>
        <v>005</v>
      </c>
      <c r="G140" s="7" t="str">
        <f>"18"</f>
        <v>18</v>
      </c>
      <c r="H140" s="7">
        <v>63.3</v>
      </c>
    </row>
    <row r="141" ht="22.95" customHeight="1" spans="1:8">
      <c r="A141" s="6">
        <v>139</v>
      </c>
      <c r="B141" s="7" t="str">
        <f t="shared" si="13"/>
        <v>01</v>
      </c>
      <c r="C141" s="7" t="str">
        <f>"剧飞"</f>
        <v>剧飞</v>
      </c>
      <c r="D141" s="7" t="str">
        <f>"男"</f>
        <v>男</v>
      </c>
      <c r="E141" s="7" t="str">
        <f>"22020100519"</f>
        <v>22020100519</v>
      </c>
      <c r="F141" s="7" t="str">
        <f t="shared" si="12"/>
        <v>005</v>
      </c>
      <c r="G141" s="7" t="str">
        <f>"19"</f>
        <v>19</v>
      </c>
      <c r="H141" s="7">
        <v>68</v>
      </c>
    </row>
    <row r="142" ht="22.95" customHeight="1" spans="1:8">
      <c r="A142" s="6">
        <v>140</v>
      </c>
      <c r="B142" s="7" t="str">
        <f t="shared" si="13"/>
        <v>01</v>
      </c>
      <c r="C142" s="7" t="str">
        <f>"王坦"</f>
        <v>王坦</v>
      </c>
      <c r="D142" s="7" t="str">
        <f>"女"</f>
        <v>女</v>
      </c>
      <c r="E142" s="7" t="str">
        <f>"22020100520"</f>
        <v>22020100520</v>
      </c>
      <c r="F142" s="7" t="str">
        <f t="shared" si="12"/>
        <v>005</v>
      </c>
      <c r="G142" s="7" t="str">
        <f>"20"</f>
        <v>20</v>
      </c>
      <c r="H142" s="7">
        <v>56.2</v>
      </c>
    </row>
    <row r="143" ht="22.95" customHeight="1" spans="1:8">
      <c r="A143" s="6">
        <v>141</v>
      </c>
      <c r="B143" s="7" t="str">
        <f t="shared" si="13"/>
        <v>01</v>
      </c>
      <c r="C143" s="7" t="str">
        <f>"刘瑾"</f>
        <v>刘瑾</v>
      </c>
      <c r="D143" s="7" t="str">
        <f>"男"</f>
        <v>男</v>
      </c>
      <c r="E143" s="7" t="str">
        <f>"22020100521"</f>
        <v>22020100521</v>
      </c>
      <c r="F143" s="7" t="str">
        <f t="shared" si="12"/>
        <v>005</v>
      </c>
      <c r="G143" s="7" t="str">
        <f>"21"</f>
        <v>21</v>
      </c>
      <c r="H143" s="7">
        <v>55.2</v>
      </c>
    </row>
    <row r="144" ht="22.95" customHeight="1" spans="1:8">
      <c r="A144" s="6">
        <v>142</v>
      </c>
      <c r="B144" s="7" t="str">
        <f t="shared" si="13"/>
        <v>01</v>
      </c>
      <c r="C144" s="7" t="str">
        <f>"张岱"</f>
        <v>张岱</v>
      </c>
      <c r="D144" s="7" t="str">
        <f>"男"</f>
        <v>男</v>
      </c>
      <c r="E144" s="7" t="str">
        <f>"22020100522"</f>
        <v>22020100522</v>
      </c>
      <c r="F144" s="7" t="str">
        <f t="shared" si="12"/>
        <v>005</v>
      </c>
      <c r="G144" s="7" t="str">
        <f>"22"</f>
        <v>22</v>
      </c>
      <c r="H144" s="7">
        <v>71.4</v>
      </c>
    </row>
    <row r="145" ht="22.95" customHeight="1" spans="1:8">
      <c r="A145" s="6">
        <v>143</v>
      </c>
      <c r="B145" s="7" t="str">
        <f t="shared" si="13"/>
        <v>01</v>
      </c>
      <c r="C145" s="7" t="str">
        <f>"周佳"</f>
        <v>周佳</v>
      </c>
      <c r="D145" s="7" t="str">
        <f>"女"</f>
        <v>女</v>
      </c>
      <c r="E145" s="7" t="str">
        <f>"22020100523"</f>
        <v>22020100523</v>
      </c>
      <c r="F145" s="7" t="str">
        <f t="shared" si="12"/>
        <v>005</v>
      </c>
      <c r="G145" s="7" t="str">
        <f>"23"</f>
        <v>23</v>
      </c>
      <c r="H145" s="7">
        <v>65.9</v>
      </c>
    </row>
    <row r="146" ht="22.95" customHeight="1" spans="1:8">
      <c r="A146" s="6">
        <v>144</v>
      </c>
      <c r="B146" s="7" t="str">
        <f t="shared" si="13"/>
        <v>01</v>
      </c>
      <c r="C146" s="7" t="str">
        <f>"崔玉峰"</f>
        <v>崔玉峰</v>
      </c>
      <c r="D146" s="7" t="str">
        <f>"男"</f>
        <v>男</v>
      </c>
      <c r="E146" s="7" t="str">
        <f>"22020100524"</f>
        <v>22020100524</v>
      </c>
      <c r="F146" s="7" t="str">
        <f t="shared" si="12"/>
        <v>005</v>
      </c>
      <c r="G146" s="7" t="str">
        <f>"24"</f>
        <v>24</v>
      </c>
      <c r="H146" s="7">
        <v>65.2</v>
      </c>
    </row>
    <row r="147" ht="22.95" customHeight="1" spans="1:8">
      <c r="A147" s="6">
        <v>145</v>
      </c>
      <c r="B147" s="7" t="str">
        <f t="shared" si="13"/>
        <v>01</v>
      </c>
      <c r="C147" s="7" t="str">
        <f>"赵建"</f>
        <v>赵建</v>
      </c>
      <c r="D147" s="7" t="str">
        <f>"男"</f>
        <v>男</v>
      </c>
      <c r="E147" s="7" t="str">
        <f>"22020100525"</f>
        <v>22020100525</v>
      </c>
      <c r="F147" s="7" t="str">
        <f t="shared" si="12"/>
        <v>005</v>
      </c>
      <c r="G147" s="7" t="str">
        <f>"25"</f>
        <v>25</v>
      </c>
      <c r="H147" s="7">
        <v>64.5</v>
      </c>
    </row>
    <row r="148" ht="22.95" customHeight="1" spans="1:8">
      <c r="A148" s="6">
        <v>146</v>
      </c>
      <c r="B148" s="7" t="str">
        <f t="shared" si="13"/>
        <v>01</v>
      </c>
      <c r="C148" s="7" t="str">
        <f>"王晶"</f>
        <v>王晶</v>
      </c>
      <c r="D148" s="7" t="str">
        <f>"女"</f>
        <v>女</v>
      </c>
      <c r="E148" s="7" t="str">
        <f>"22020100526"</f>
        <v>22020100526</v>
      </c>
      <c r="F148" s="7" t="str">
        <f t="shared" si="12"/>
        <v>005</v>
      </c>
      <c r="G148" s="7" t="str">
        <f>"26"</f>
        <v>26</v>
      </c>
      <c r="H148" s="7">
        <v>45.5</v>
      </c>
    </row>
    <row r="149" ht="22.95" customHeight="1" spans="1:8">
      <c r="A149" s="6">
        <v>147</v>
      </c>
      <c r="B149" s="7" t="str">
        <f t="shared" si="13"/>
        <v>01</v>
      </c>
      <c r="C149" s="7" t="str">
        <f>"王冠"</f>
        <v>王冠</v>
      </c>
      <c r="D149" s="7" t="str">
        <f t="shared" ref="D149:D155" si="14">"男"</f>
        <v>男</v>
      </c>
      <c r="E149" s="7" t="str">
        <f>"22020100527"</f>
        <v>22020100527</v>
      </c>
      <c r="F149" s="7" t="str">
        <f t="shared" si="12"/>
        <v>005</v>
      </c>
      <c r="G149" s="7" t="str">
        <f>"27"</f>
        <v>27</v>
      </c>
      <c r="H149" s="7" t="s">
        <v>9</v>
      </c>
    </row>
    <row r="150" ht="22.95" customHeight="1" spans="1:8">
      <c r="A150" s="6">
        <v>148</v>
      </c>
      <c r="B150" s="7" t="str">
        <f t="shared" si="13"/>
        <v>01</v>
      </c>
      <c r="C150" s="7" t="str">
        <f>"苗泽峰"</f>
        <v>苗泽峰</v>
      </c>
      <c r="D150" s="7" t="str">
        <f t="shared" si="14"/>
        <v>男</v>
      </c>
      <c r="E150" s="7" t="str">
        <f>"22020100528"</f>
        <v>22020100528</v>
      </c>
      <c r="F150" s="7" t="str">
        <f t="shared" si="12"/>
        <v>005</v>
      </c>
      <c r="G150" s="7" t="str">
        <f>"28"</f>
        <v>28</v>
      </c>
      <c r="H150" s="7">
        <v>74.1</v>
      </c>
    </row>
    <row r="151" ht="22.95" customHeight="1" spans="1:8">
      <c r="A151" s="6">
        <v>149</v>
      </c>
      <c r="B151" s="7" t="str">
        <f t="shared" si="13"/>
        <v>01</v>
      </c>
      <c r="C151" s="7" t="str">
        <f>"徐宇"</f>
        <v>徐宇</v>
      </c>
      <c r="D151" s="7" t="str">
        <f t="shared" si="14"/>
        <v>男</v>
      </c>
      <c r="E151" s="7" t="str">
        <f>"22020100529"</f>
        <v>22020100529</v>
      </c>
      <c r="F151" s="7" t="str">
        <f t="shared" si="12"/>
        <v>005</v>
      </c>
      <c r="G151" s="7" t="str">
        <f>"29"</f>
        <v>29</v>
      </c>
      <c r="H151" s="7">
        <v>53.1</v>
      </c>
    </row>
    <row r="152" ht="22.95" customHeight="1" spans="1:8">
      <c r="A152" s="6">
        <v>150</v>
      </c>
      <c r="B152" s="7" t="str">
        <f t="shared" si="13"/>
        <v>01</v>
      </c>
      <c r="C152" s="7" t="str">
        <f>"吕泳斌"</f>
        <v>吕泳斌</v>
      </c>
      <c r="D152" s="7" t="str">
        <f t="shared" si="14"/>
        <v>男</v>
      </c>
      <c r="E152" s="7" t="str">
        <f>"22020100530"</f>
        <v>22020100530</v>
      </c>
      <c r="F152" s="7" t="str">
        <f t="shared" si="12"/>
        <v>005</v>
      </c>
      <c r="G152" s="7" t="str">
        <f>"30"</f>
        <v>30</v>
      </c>
      <c r="H152" s="7">
        <v>68.2</v>
      </c>
    </row>
    <row r="153" ht="22.95" customHeight="1" spans="1:8">
      <c r="A153" s="6">
        <v>151</v>
      </c>
      <c r="B153" s="7" t="str">
        <f t="shared" si="13"/>
        <v>01</v>
      </c>
      <c r="C153" s="7" t="str">
        <f>"张涛"</f>
        <v>张涛</v>
      </c>
      <c r="D153" s="7" t="str">
        <f t="shared" si="14"/>
        <v>男</v>
      </c>
      <c r="E153" s="7" t="str">
        <f>"22020100601"</f>
        <v>22020100601</v>
      </c>
      <c r="F153" s="7" t="str">
        <f t="shared" ref="F153:F182" si="15">"006"</f>
        <v>006</v>
      </c>
      <c r="G153" s="7" t="str">
        <f>"01"</f>
        <v>01</v>
      </c>
      <c r="H153" s="7">
        <v>63.5</v>
      </c>
    </row>
    <row r="154" ht="22.95" customHeight="1" spans="1:8">
      <c r="A154" s="6">
        <v>152</v>
      </c>
      <c r="B154" s="7" t="str">
        <f t="shared" si="13"/>
        <v>01</v>
      </c>
      <c r="C154" s="7" t="str">
        <f>"王鑫"</f>
        <v>王鑫</v>
      </c>
      <c r="D154" s="7" t="str">
        <f t="shared" si="14"/>
        <v>男</v>
      </c>
      <c r="E154" s="7" t="str">
        <f>"22020100602"</f>
        <v>22020100602</v>
      </c>
      <c r="F154" s="7" t="str">
        <f t="shared" si="15"/>
        <v>006</v>
      </c>
      <c r="G154" s="7" t="str">
        <f>"02"</f>
        <v>02</v>
      </c>
      <c r="H154" s="7">
        <v>77.6</v>
      </c>
    </row>
    <row r="155" ht="22.95" customHeight="1" spans="1:8">
      <c r="A155" s="6">
        <v>153</v>
      </c>
      <c r="B155" s="7" t="str">
        <f t="shared" si="13"/>
        <v>01</v>
      </c>
      <c r="C155" s="7" t="str">
        <f>"张岗"</f>
        <v>张岗</v>
      </c>
      <c r="D155" s="7" t="str">
        <f t="shared" si="14"/>
        <v>男</v>
      </c>
      <c r="E155" s="7" t="str">
        <f>"22020100603"</f>
        <v>22020100603</v>
      </c>
      <c r="F155" s="7" t="str">
        <f t="shared" si="15"/>
        <v>006</v>
      </c>
      <c r="G155" s="7" t="str">
        <f>"03"</f>
        <v>03</v>
      </c>
      <c r="H155" s="7">
        <v>82.8</v>
      </c>
    </row>
    <row r="156" ht="22.95" customHeight="1" spans="1:8">
      <c r="A156" s="6">
        <v>154</v>
      </c>
      <c r="B156" s="7" t="str">
        <f t="shared" si="13"/>
        <v>01</v>
      </c>
      <c r="C156" s="7" t="str">
        <f>"党乐"</f>
        <v>党乐</v>
      </c>
      <c r="D156" s="7" t="str">
        <f>"女"</f>
        <v>女</v>
      </c>
      <c r="E156" s="7" t="str">
        <f>"22020100604"</f>
        <v>22020100604</v>
      </c>
      <c r="F156" s="7" t="str">
        <f t="shared" si="15"/>
        <v>006</v>
      </c>
      <c r="G156" s="7" t="str">
        <f>"04"</f>
        <v>04</v>
      </c>
      <c r="H156" s="7">
        <v>82</v>
      </c>
    </row>
    <row r="157" ht="22.95" customHeight="1" spans="1:8">
      <c r="A157" s="6">
        <v>155</v>
      </c>
      <c r="B157" s="7" t="str">
        <f t="shared" si="13"/>
        <v>01</v>
      </c>
      <c r="C157" s="7" t="str">
        <f>"王聪"</f>
        <v>王聪</v>
      </c>
      <c r="D157" s="7" t="str">
        <f>"女"</f>
        <v>女</v>
      </c>
      <c r="E157" s="7" t="str">
        <f>"22020100605"</f>
        <v>22020100605</v>
      </c>
      <c r="F157" s="7" t="str">
        <f t="shared" si="15"/>
        <v>006</v>
      </c>
      <c r="G157" s="7" t="str">
        <f>"05"</f>
        <v>05</v>
      </c>
      <c r="H157" s="7">
        <v>60.3</v>
      </c>
    </row>
    <row r="158" ht="22.95" customHeight="1" spans="1:8">
      <c r="A158" s="6">
        <v>156</v>
      </c>
      <c r="B158" s="7" t="str">
        <f t="shared" si="13"/>
        <v>01</v>
      </c>
      <c r="C158" s="7" t="str">
        <f>"黄曈"</f>
        <v>黄曈</v>
      </c>
      <c r="D158" s="7" t="str">
        <f>"男"</f>
        <v>男</v>
      </c>
      <c r="E158" s="7" t="str">
        <f>"22020100606"</f>
        <v>22020100606</v>
      </c>
      <c r="F158" s="7" t="str">
        <f t="shared" si="15"/>
        <v>006</v>
      </c>
      <c r="G158" s="7" t="str">
        <f>"06"</f>
        <v>06</v>
      </c>
      <c r="H158" s="7">
        <v>64.7</v>
      </c>
    </row>
    <row r="159" ht="22.95" customHeight="1" spans="1:8">
      <c r="A159" s="6">
        <v>157</v>
      </c>
      <c r="B159" s="7" t="str">
        <f t="shared" si="13"/>
        <v>01</v>
      </c>
      <c r="C159" s="7" t="str">
        <f>"韩璐"</f>
        <v>韩璐</v>
      </c>
      <c r="D159" s="7" t="str">
        <f>"女"</f>
        <v>女</v>
      </c>
      <c r="E159" s="7" t="str">
        <f>"22020100607"</f>
        <v>22020100607</v>
      </c>
      <c r="F159" s="7" t="str">
        <f t="shared" si="15"/>
        <v>006</v>
      </c>
      <c r="G159" s="7" t="str">
        <f>"07"</f>
        <v>07</v>
      </c>
      <c r="H159" s="7">
        <v>69</v>
      </c>
    </row>
    <row r="160" ht="22.95" customHeight="1" spans="1:8">
      <c r="A160" s="6">
        <v>158</v>
      </c>
      <c r="B160" s="7" t="str">
        <f t="shared" si="13"/>
        <v>01</v>
      </c>
      <c r="C160" s="7" t="str">
        <f>"沈君"</f>
        <v>沈君</v>
      </c>
      <c r="D160" s="7" t="str">
        <f>"女"</f>
        <v>女</v>
      </c>
      <c r="E160" s="7" t="str">
        <f>"22020100608"</f>
        <v>22020100608</v>
      </c>
      <c r="F160" s="7" t="str">
        <f t="shared" si="15"/>
        <v>006</v>
      </c>
      <c r="G160" s="7" t="str">
        <f>"08"</f>
        <v>08</v>
      </c>
      <c r="H160" s="7">
        <v>57.6</v>
      </c>
    </row>
    <row r="161" ht="22.95" customHeight="1" spans="1:8">
      <c r="A161" s="6">
        <v>159</v>
      </c>
      <c r="B161" s="7" t="str">
        <f t="shared" si="13"/>
        <v>01</v>
      </c>
      <c r="C161" s="7" t="str">
        <f>"赵丽"</f>
        <v>赵丽</v>
      </c>
      <c r="D161" s="7" t="str">
        <f>"女"</f>
        <v>女</v>
      </c>
      <c r="E161" s="7" t="str">
        <f>"22020100609"</f>
        <v>22020100609</v>
      </c>
      <c r="F161" s="7" t="str">
        <f t="shared" si="15"/>
        <v>006</v>
      </c>
      <c r="G161" s="7" t="str">
        <f>"09"</f>
        <v>09</v>
      </c>
      <c r="H161" s="7">
        <v>73.5</v>
      </c>
    </row>
    <row r="162" ht="22.95" customHeight="1" spans="1:8">
      <c r="A162" s="6">
        <v>160</v>
      </c>
      <c r="B162" s="7" t="str">
        <f t="shared" si="13"/>
        <v>01</v>
      </c>
      <c r="C162" s="7" t="str">
        <f>"马晓乾"</f>
        <v>马晓乾</v>
      </c>
      <c r="D162" s="7" t="str">
        <f>"男"</f>
        <v>男</v>
      </c>
      <c r="E162" s="7" t="str">
        <f>"22020100610"</f>
        <v>22020100610</v>
      </c>
      <c r="F162" s="7" t="str">
        <f t="shared" si="15"/>
        <v>006</v>
      </c>
      <c r="G162" s="7" t="str">
        <f>"10"</f>
        <v>10</v>
      </c>
      <c r="H162" s="7">
        <v>57.4</v>
      </c>
    </row>
    <row r="163" ht="22.95" customHeight="1" spans="1:8">
      <c r="A163" s="6">
        <v>161</v>
      </c>
      <c r="B163" s="7" t="str">
        <f t="shared" si="13"/>
        <v>01</v>
      </c>
      <c r="C163" s="7" t="str">
        <f>"赵飞"</f>
        <v>赵飞</v>
      </c>
      <c r="D163" s="7" t="str">
        <f>"男"</f>
        <v>男</v>
      </c>
      <c r="E163" s="7" t="str">
        <f>"22020100611"</f>
        <v>22020100611</v>
      </c>
      <c r="F163" s="7" t="str">
        <f t="shared" si="15"/>
        <v>006</v>
      </c>
      <c r="G163" s="7" t="str">
        <f>"11"</f>
        <v>11</v>
      </c>
      <c r="H163" s="7">
        <v>79.1</v>
      </c>
    </row>
    <row r="164" ht="22.95" customHeight="1" spans="1:8">
      <c r="A164" s="6">
        <v>162</v>
      </c>
      <c r="B164" s="7" t="str">
        <f t="shared" si="13"/>
        <v>01</v>
      </c>
      <c r="C164" s="7" t="str">
        <f>"赵庆玉"</f>
        <v>赵庆玉</v>
      </c>
      <c r="D164" s="7" t="str">
        <f>"男"</f>
        <v>男</v>
      </c>
      <c r="E164" s="7" t="str">
        <f>"22020100612"</f>
        <v>22020100612</v>
      </c>
      <c r="F164" s="7" t="str">
        <f t="shared" si="15"/>
        <v>006</v>
      </c>
      <c r="G164" s="7" t="str">
        <f>"12"</f>
        <v>12</v>
      </c>
      <c r="H164" s="7">
        <v>78.2</v>
      </c>
    </row>
    <row r="165" ht="22.95" customHeight="1" spans="1:8">
      <c r="A165" s="6">
        <v>163</v>
      </c>
      <c r="B165" s="7" t="str">
        <f t="shared" si="13"/>
        <v>01</v>
      </c>
      <c r="C165" s="7" t="str">
        <f>"李栋"</f>
        <v>李栋</v>
      </c>
      <c r="D165" s="7" t="str">
        <f>"男"</f>
        <v>男</v>
      </c>
      <c r="E165" s="7" t="str">
        <f>"22020100613"</f>
        <v>22020100613</v>
      </c>
      <c r="F165" s="7" t="str">
        <f t="shared" si="15"/>
        <v>006</v>
      </c>
      <c r="G165" s="7" t="str">
        <f>"13"</f>
        <v>13</v>
      </c>
      <c r="H165" s="7">
        <v>67.8</v>
      </c>
    </row>
    <row r="166" ht="22.95" customHeight="1" spans="1:8">
      <c r="A166" s="6">
        <v>164</v>
      </c>
      <c r="B166" s="7" t="str">
        <f t="shared" si="13"/>
        <v>01</v>
      </c>
      <c r="C166" s="7" t="str">
        <f>"余庆"</f>
        <v>余庆</v>
      </c>
      <c r="D166" s="7" t="str">
        <f>"男"</f>
        <v>男</v>
      </c>
      <c r="E166" s="7" t="str">
        <f>"22020100614"</f>
        <v>22020100614</v>
      </c>
      <c r="F166" s="7" t="str">
        <f t="shared" si="15"/>
        <v>006</v>
      </c>
      <c r="G166" s="7" t="str">
        <f>"14"</f>
        <v>14</v>
      </c>
      <c r="H166" s="7">
        <v>62.6</v>
      </c>
    </row>
    <row r="167" ht="22.95" customHeight="1" spans="1:8">
      <c r="A167" s="6">
        <v>165</v>
      </c>
      <c r="B167" s="7" t="str">
        <f t="shared" si="13"/>
        <v>01</v>
      </c>
      <c r="C167" s="7" t="str">
        <f>"孙文佳"</f>
        <v>孙文佳</v>
      </c>
      <c r="D167" s="7" t="str">
        <f>"女"</f>
        <v>女</v>
      </c>
      <c r="E167" s="7" t="str">
        <f>"22020100615"</f>
        <v>22020100615</v>
      </c>
      <c r="F167" s="7" t="str">
        <f t="shared" si="15"/>
        <v>006</v>
      </c>
      <c r="G167" s="7" t="str">
        <f>"15"</f>
        <v>15</v>
      </c>
      <c r="H167" s="7">
        <v>76</v>
      </c>
    </row>
    <row r="168" ht="22.95" customHeight="1" spans="1:8">
      <c r="A168" s="6">
        <v>166</v>
      </c>
      <c r="B168" s="7" t="str">
        <f t="shared" si="13"/>
        <v>01</v>
      </c>
      <c r="C168" s="7" t="str">
        <f>"张翼"</f>
        <v>张翼</v>
      </c>
      <c r="D168" s="7" t="str">
        <f>"男"</f>
        <v>男</v>
      </c>
      <c r="E168" s="7" t="str">
        <f>"22020100616"</f>
        <v>22020100616</v>
      </c>
      <c r="F168" s="7" t="str">
        <f t="shared" si="15"/>
        <v>006</v>
      </c>
      <c r="G168" s="7" t="str">
        <f>"16"</f>
        <v>16</v>
      </c>
      <c r="H168" s="7">
        <v>60.4</v>
      </c>
    </row>
    <row r="169" ht="22.95" customHeight="1" spans="1:8">
      <c r="A169" s="6">
        <v>167</v>
      </c>
      <c r="B169" s="7" t="str">
        <f t="shared" si="13"/>
        <v>01</v>
      </c>
      <c r="C169" s="7" t="str">
        <f>"马海川"</f>
        <v>马海川</v>
      </c>
      <c r="D169" s="7" t="str">
        <f>"男"</f>
        <v>男</v>
      </c>
      <c r="E169" s="7" t="str">
        <f>"22020100617"</f>
        <v>22020100617</v>
      </c>
      <c r="F169" s="7" t="str">
        <f t="shared" si="15"/>
        <v>006</v>
      </c>
      <c r="G169" s="7" t="str">
        <f>"17"</f>
        <v>17</v>
      </c>
      <c r="H169" s="7">
        <v>60.6</v>
      </c>
    </row>
    <row r="170" ht="22.95" customHeight="1" spans="1:8">
      <c r="A170" s="6">
        <v>168</v>
      </c>
      <c r="B170" s="7" t="str">
        <f t="shared" si="13"/>
        <v>01</v>
      </c>
      <c r="C170" s="7" t="str">
        <f>"赵倩"</f>
        <v>赵倩</v>
      </c>
      <c r="D170" s="7" t="str">
        <f>"女"</f>
        <v>女</v>
      </c>
      <c r="E170" s="7" t="str">
        <f>"22020100618"</f>
        <v>22020100618</v>
      </c>
      <c r="F170" s="7" t="str">
        <f t="shared" si="15"/>
        <v>006</v>
      </c>
      <c r="G170" s="7" t="str">
        <f>"18"</f>
        <v>18</v>
      </c>
      <c r="H170" s="7" t="s">
        <v>9</v>
      </c>
    </row>
    <row r="171" ht="22.95" customHeight="1" spans="1:8">
      <c r="A171" s="6">
        <v>169</v>
      </c>
      <c r="B171" s="7" t="str">
        <f t="shared" si="13"/>
        <v>01</v>
      </c>
      <c r="C171" s="7" t="str">
        <f>"董亚霜"</f>
        <v>董亚霜</v>
      </c>
      <c r="D171" s="7" t="str">
        <f>"女"</f>
        <v>女</v>
      </c>
      <c r="E171" s="7" t="str">
        <f>"22020100619"</f>
        <v>22020100619</v>
      </c>
      <c r="F171" s="7" t="str">
        <f t="shared" si="15"/>
        <v>006</v>
      </c>
      <c r="G171" s="7" t="str">
        <f>"19"</f>
        <v>19</v>
      </c>
      <c r="H171" s="7">
        <v>67.9</v>
      </c>
    </row>
    <row r="172" ht="22.95" customHeight="1" spans="1:8">
      <c r="A172" s="6">
        <v>170</v>
      </c>
      <c r="B172" s="7" t="str">
        <f t="shared" si="13"/>
        <v>01</v>
      </c>
      <c r="C172" s="7" t="str">
        <f>"张厚源"</f>
        <v>张厚源</v>
      </c>
      <c r="D172" s="7" t="str">
        <f>"男"</f>
        <v>男</v>
      </c>
      <c r="E172" s="7" t="str">
        <f>"22020100620"</f>
        <v>22020100620</v>
      </c>
      <c r="F172" s="7" t="str">
        <f t="shared" si="15"/>
        <v>006</v>
      </c>
      <c r="G172" s="7" t="str">
        <f>"20"</f>
        <v>20</v>
      </c>
      <c r="H172" s="7">
        <v>71.8</v>
      </c>
    </row>
    <row r="173" ht="22.95" customHeight="1" spans="1:8">
      <c r="A173" s="6">
        <v>171</v>
      </c>
      <c r="B173" s="7" t="str">
        <f t="shared" si="13"/>
        <v>01</v>
      </c>
      <c r="C173" s="7" t="str">
        <f>"朱德洋"</f>
        <v>朱德洋</v>
      </c>
      <c r="D173" s="7" t="str">
        <f>"男"</f>
        <v>男</v>
      </c>
      <c r="E173" s="7" t="str">
        <f>"22020100621"</f>
        <v>22020100621</v>
      </c>
      <c r="F173" s="7" t="str">
        <f t="shared" si="15"/>
        <v>006</v>
      </c>
      <c r="G173" s="7" t="str">
        <f>"21"</f>
        <v>21</v>
      </c>
      <c r="H173" s="7" t="s">
        <v>9</v>
      </c>
    </row>
    <row r="174" ht="22.95" customHeight="1" spans="1:8">
      <c r="A174" s="6">
        <v>172</v>
      </c>
      <c r="B174" s="7" t="str">
        <f t="shared" si="13"/>
        <v>01</v>
      </c>
      <c r="C174" s="7" t="str">
        <f>"乔雪"</f>
        <v>乔雪</v>
      </c>
      <c r="D174" s="7" t="str">
        <f>"女"</f>
        <v>女</v>
      </c>
      <c r="E174" s="7" t="str">
        <f>"22020100622"</f>
        <v>22020100622</v>
      </c>
      <c r="F174" s="7" t="str">
        <f t="shared" si="15"/>
        <v>006</v>
      </c>
      <c r="G174" s="7" t="str">
        <f>"22"</f>
        <v>22</v>
      </c>
      <c r="H174" s="7">
        <v>63</v>
      </c>
    </row>
    <row r="175" ht="22.95" customHeight="1" spans="1:8">
      <c r="A175" s="6">
        <v>173</v>
      </c>
      <c r="B175" s="7" t="str">
        <f t="shared" si="13"/>
        <v>01</v>
      </c>
      <c r="C175" s="7" t="str">
        <f>"程毅"</f>
        <v>程毅</v>
      </c>
      <c r="D175" s="7" t="str">
        <f>"男"</f>
        <v>男</v>
      </c>
      <c r="E175" s="7" t="str">
        <f>"22020100623"</f>
        <v>22020100623</v>
      </c>
      <c r="F175" s="7" t="str">
        <f t="shared" si="15"/>
        <v>006</v>
      </c>
      <c r="G175" s="7" t="str">
        <f>"23"</f>
        <v>23</v>
      </c>
      <c r="H175" s="7" t="s">
        <v>9</v>
      </c>
    </row>
    <row r="176" ht="22.95" customHeight="1" spans="1:8">
      <c r="A176" s="6">
        <v>174</v>
      </c>
      <c r="B176" s="7" t="str">
        <f t="shared" si="13"/>
        <v>01</v>
      </c>
      <c r="C176" s="7" t="str">
        <f>"张晓"</f>
        <v>张晓</v>
      </c>
      <c r="D176" s="7" t="str">
        <f>"男"</f>
        <v>男</v>
      </c>
      <c r="E176" s="7" t="str">
        <f>"22020100624"</f>
        <v>22020100624</v>
      </c>
      <c r="F176" s="7" t="str">
        <f t="shared" si="15"/>
        <v>006</v>
      </c>
      <c r="G176" s="7" t="str">
        <f>"24"</f>
        <v>24</v>
      </c>
      <c r="H176" s="7">
        <v>57.1</v>
      </c>
    </row>
    <row r="177" ht="22.95" customHeight="1" spans="1:8">
      <c r="A177" s="6">
        <v>175</v>
      </c>
      <c r="B177" s="7" t="str">
        <f t="shared" si="13"/>
        <v>01</v>
      </c>
      <c r="C177" s="7" t="str">
        <f>"杜恒宽"</f>
        <v>杜恒宽</v>
      </c>
      <c r="D177" s="7" t="str">
        <f>"男"</f>
        <v>男</v>
      </c>
      <c r="E177" s="7" t="str">
        <f>"22020100625"</f>
        <v>22020100625</v>
      </c>
      <c r="F177" s="7" t="str">
        <f t="shared" si="15"/>
        <v>006</v>
      </c>
      <c r="G177" s="7" t="str">
        <f>"25"</f>
        <v>25</v>
      </c>
      <c r="H177" s="7">
        <v>63.6</v>
      </c>
    </row>
    <row r="178" ht="22.95" customHeight="1" spans="1:8">
      <c r="A178" s="6">
        <v>176</v>
      </c>
      <c r="B178" s="7" t="str">
        <f t="shared" si="13"/>
        <v>01</v>
      </c>
      <c r="C178" s="7" t="str">
        <f>"白宇"</f>
        <v>白宇</v>
      </c>
      <c r="D178" s="7" t="str">
        <f>"男"</f>
        <v>男</v>
      </c>
      <c r="E178" s="7" t="str">
        <f>"22020100626"</f>
        <v>22020100626</v>
      </c>
      <c r="F178" s="7" t="str">
        <f t="shared" si="15"/>
        <v>006</v>
      </c>
      <c r="G178" s="7" t="str">
        <f>"26"</f>
        <v>26</v>
      </c>
      <c r="H178" s="7">
        <v>64</v>
      </c>
    </row>
    <row r="179" ht="22.95" customHeight="1" spans="1:8">
      <c r="A179" s="6">
        <v>177</v>
      </c>
      <c r="B179" s="7" t="str">
        <f t="shared" si="13"/>
        <v>01</v>
      </c>
      <c r="C179" s="7" t="str">
        <f>"马宏梁"</f>
        <v>马宏梁</v>
      </c>
      <c r="D179" s="7" t="str">
        <f>"男"</f>
        <v>男</v>
      </c>
      <c r="E179" s="7" t="str">
        <f>"22020100627"</f>
        <v>22020100627</v>
      </c>
      <c r="F179" s="7" t="str">
        <f t="shared" si="15"/>
        <v>006</v>
      </c>
      <c r="G179" s="7" t="str">
        <f>"27"</f>
        <v>27</v>
      </c>
      <c r="H179" s="7">
        <v>79.2</v>
      </c>
    </row>
    <row r="180" ht="22.95" customHeight="1" spans="1:8">
      <c r="A180" s="6">
        <v>178</v>
      </c>
      <c r="B180" s="7" t="str">
        <f t="shared" si="13"/>
        <v>01</v>
      </c>
      <c r="C180" s="7" t="str">
        <f>"蔡宛君"</f>
        <v>蔡宛君</v>
      </c>
      <c r="D180" s="7" t="str">
        <f>"女"</f>
        <v>女</v>
      </c>
      <c r="E180" s="7" t="str">
        <f>"22020100628"</f>
        <v>22020100628</v>
      </c>
      <c r="F180" s="7" t="str">
        <f t="shared" si="15"/>
        <v>006</v>
      </c>
      <c r="G180" s="7" t="str">
        <f>"28"</f>
        <v>28</v>
      </c>
      <c r="H180" s="7" t="s">
        <v>9</v>
      </c>
    </row>
    <row r="181" ht="22.95" customHeight="1" spans="1:8">
      <c r="A181" s="6">
        <v>179</v>
      </c>
      <c r="B181" s="7" t="str">
        <f t="shared" si="13"/>
        <v>01</v>
      </c>
      <c r="C181" s="7" t="str">
        <f>"张展"</f>
        <v>张展</v>
      </c>
      <c r="D181" s="7" t="str">
        <f>"女"</f>
        <v>女</v>
      </c>
      <c r="E181" s="7" t="str">
        <f>"22020100629"</f>
        <v>22020100629</v>
      </c>
      <c r="F181" s="7" t="str">
        <f t="shared" si="15"/>
        <v>006</v>
      </c>
      <c r="G181" s="7" t="str">
        <f>"29"</f>
        <v>29</v>
      </c>
      <c r="H181" s="7">
        <v>76.8</v>
      </c>
    </row>
    <row r="182" ht="22.95" customHeight="1" spans="1:8">
      <c r="A182" s="6">
        <v>180</v>
      </c>
      <c r="B182" s="7" t="str">
        <f t="shared" si="13"/>
        <v>01</v>
      </c>
      <c r="C182" s="7" t="str">
        <f>"陈豪川"</f>
        <v>陈豪川</v>
      </c>
      <c r="D182" s="7" t="str">
        <f t="shared" ref="D182:D199" si="16">"男"</f>
        <v>男</v>
      </c>
      <c r="E182" s="7" t="str">
        <f>"22020100630"</f>
        <v>22020100630</v>
      </c>
      <c r="F182" s="7" t="str">
        <f t="shared" si="15"/>
        <v>006</v>
      </c>
      <c r="G182" s="7" t="str">
        <f>"30"</f>
        <v>30</v>
      </c>
      <c r="H182" s="7" t="s">
        <v>9</v>
      </c>
    </row>
    <row r="183" ht="22.95" customHeight="1" spans="1:8">
      <c r="A183" s="6">
        <v>181</v>
      </c>
      <c r="B183" s="7" t="str">
        <f t="shared" si="13"/>
        <v>01</v>
      </c>
      <c r="C183" s="7" t="str">
        <f>"王超强"</f>
        <v>王超强</v>
      </c>
      <c r="D183" s="7" t="str">
        <f t="shared" si="16"/>
        <v>男</v>
      </c>
      <c r="E183" s="7" t="str">
        <f>"22020100701"</f>
        <v>22020100701</v>
      </c>
      <c r="F183" s="7" t="str">
        <f t="shared" ref="F183:F212" si="17">"007"</f>
        <v>007</v>
      </c>
      <c r="G183" s="7" t="str">
        <f>"01"</f>
        <v>01</v>
      </c>
      <c r="H183" s="7">
        <v>62.7</v>
      </c>
    </row>
    <row r="184" ht="22.95" customHeight="1" spans="1:8">
      <c r="A184" s="6">
        <v>182</v>
      </c>
      <c r="B184" s="7" t="str">
        <f t="shared" si="13"/>
        <v>01</v>
      </c>
      <c r="C184" s="7" t="str">
        <f>"王冠一"</f>
        <v>王冠一</v>
      </c>
      <c r="D184" s="7" t="str">
        <f t="shared" si="16"/>
        <v>男</v>
      </c>
      <c r="E184" s="7" t="str">
        <f>"22020100702"</f>
        <v>22020100702</v>
      </c>
      <c r="F184" s="7" t="str">
        <f t="shared" si="17"/>
        <v>007</v>
      </c>
      <c r="G184" s="7" t="str">
        <f>"02"</f>
        <v>02</v>
      </c>
      <c r="H184" s="7">
        <v>66.2</v>
      </c>
    </row>
    <row r="185" ht="22.95" customHeight="1" spans="1:8">
      <c r="A185" s="6">
        <v>183</v>
      </c>
      <c r="B185" s="7" t="str">
        <f t="shared" si="13"/>
        <v>01</v>
      </c>
      <c r="C185" s="7" t="str">
        <f>"乔鹏飞"</f>
        <v>乔鹏飞</v>
      </c>
      <c r="D185" s="7" t="str">
        <f t="shared" si="16"/>
        <v>男</v>
      </c>
      <c r="E185" s="7" t="str">
        <f>"22020100703"</f>
        <v>22020100703</v>
      </c>
      <c r="F185" s="7" t="str">
        <f t="shared" si="17"/>
        <v>007</v>
      </c>
      <c r="G185" s="7" t="str">
        <f>"03"</f>
        <v>03</v>
      </c>
      <c r="H185" s="7">
        <v>65.8</v>
      </c>
    </row>
    <row r="186" ht="22.95" customHeight="1" spans="1:8">
      <c r="A186" s="6">
        <v>184</v>
      </c>
      <c r="B186" s="7" t="str">
        <f t="shared" si="13"/>
        <v>01</v>
      </c>
      <c r="C186" s="7" t="str">
        <f>"郭明"</f>
        <v>郭明</v>
      </c>
      <c r="D186" s="7" t="str">
        <f t="shared" si="16"/>
        <v>男</v>
      </c>
      <c r="E186" s="7" t="str">
        <f>"22020100704"</f>
        <v>22020100704</v>
      </c>
      <c r="F186" s="7" t="str">
        <f t="shared" si="17"/>
        <v>007</v>
      </c>
      <c r="G186" s="7" t="str">
        <f>"04"</f>
        <v>04</v>
      </c>
      <c r="H186" s="7">
        <v>67.1</v>
      </c>
    </row>
    <row r="187" ht="22.95" customHeight="1" spans="1:8">
      <c r="A187" s="6">
        <v>185</v>
      </c>
      <c r="B187" s="7" t="str">
        <f t="shared" si="13"/>
        <v>01</v>
      </c>
      <c r="C187" s="7" t="str">
        <f>"刘建"</f>
        <v>刘建</v>
      </c>
      <c r="D187" s="7" t="str">
        <f t="shared" si="16"/>
        <v>男</v>
      </c>
      <c r="E187" s="7" t="str">
        <f>"22020100705"</f>
        <v>22020100705</v>
      </c>
      <c r="F187" s="7" t="str">
        <f t="shared" si="17"/>
        <v>007</v>
      </c>
      <c r="G187" s="7" t="str">
        <f>"05"</f>
        <v>05</v>
      </c>
      <c r="H187" s="7">
        <v>54.9</v>
      </c>
    </row>
    <row r="188" ht="22.95" customHeight="1" spans="1:8">
      <c r="A188" s="6">
        <v>186</v>
      </c>
      <c r="B188" s="7" t="str">
        <f t="shared" si="13"/>
        <v>01</v>
      </c>
      <c r="C188" s="7" t="str">
        <f>"古中领"</f>
        <v>古中领</v>
      </c>
      <c r="D188" s="7" t="str">
        <f t="shared" si="16"/>
        <v>男</v>
      </c>
      <c r="E188" s="7" t="str">
        <f>"22020100706"</f>
        <v>22020100706</v>
      </c>
      <c r="F188" s="7" t="str">
        <f t="shared" si="17"/>
        <v>007</v>
      </c>
      <c r="G188" s="7" t="str">
        <f>"06"</f>
        <v>06</v>
      </c>
      <c r="H188" s="7">
        <v>55.4</v>
      </c>
    </row>
    <row r="189" ht="22.95" customHeight="1" spans="1:8">
      <c r="A189" s="6">
        <v>187</v>
      </c>
      <c r="B189" s="7" t="str">
        <f t="shared" si="13"/>
        <v>01</v>
      </c>
      <c r="C189" s="7" t="str">
        <f>"陈茁"</f>
        <v>陈茁</v>
      </c>
      <c r="D189" s="7" t="str">
        <f t="shared" si="16"/>
        <v>男</v>
      </c>
      <c r="E189" s="7" t="str">
        <f>"22020100707"</f>
        <v>22020100707</v>
      </c>
      <c r="F189" s="7" t="str">
        <f t="shared" si="17"/>
        <v>007</v>
      </c>
      <c r="G189" s="7" t="str">
        <f>"07"</f>
        <v>07</v>
      </c>
      <c r="H189" s="7">
        <v>60.3</v>
      </c>
    </row>
    <row r="190" ht="22.95" customHeight="1" spans="1:8">
      <c r="A190" s="6">
        <v>188</v>
      </c>
      <c r="B190" s="7" t="str">
        <f t="shared" si="13"/>
        <v>01</v>
      </c>
      <c r="C190" s="7" t="str">
        <f>"刘恰恰"</f>
        <v>刘恰恰</v>
      </c>
      <c r="D190" s="7" t="str">
        <f t="shared" si="16"/>
        <v>男</v>
      </c>
      <c r="E190" s="7" t="str">
        <f>"22020100708"</f>
        <v>22020100708</v>
      </c>
      <c r="F190" s="7" t="str">
        <f t="shared" si="17"/>
        <v>007</v>
      </c>
      <c r="G190" s="7" t="str">
        <f>"08"</f>
        <v>08</v>
      </c>
      <c r="H190" s="7">
        <v>57</v>
      </c>
    </row>
    <row r="191" ht="22.95" customHeight="1" spans="1:8">
      <c r="A191" s="6">
        <v>189</v>
      </c>
      <c r="B191" s="7" t="str">
        <f t="shared" si="13"/>
        <v>01</v>
      </c>
      <c r="C191" s="7" t="str">
        <f>"党海照"</f>
        <v>党海照</v>
      </c>
      <c r="D191" s="7" t="str">
        <f t="shared" si="16"/>
        <v>男</v>
      </c>
      <c r="E191" s="7" t="str">
        <f>"22020100709"</f>
        <v>22020100709</v>
      </c>
      <c r="F191" s="7" t="str">
        <f t="shared" si="17"/>
        <v>007</v>
      </c>
      <c r="G191" s="7" t="str">
        <f>"09"</f>
        <v>09</v>
      </c>
      <c r="H191" s="7">
        <v>67.4</v>
      </c>
    </row>
    <row r="192" ht="22.95" customHeight="1" spans="1:8">
      <c r="A192" s="6">
        <v>190</v>
      </c>
      <c r="B192" s="7" t="str">
        <f t="shared" si="13"/>
        <v>01</v>
      </c>
      <c r="C192" s="7" t="str">
        <f>"谢金贝"</f>
        <v>谢金贝</v>
      </c>
      <c r="D192" s="7" t="str">
        <f t="shared" si="16"/>
        <v>男</v>
      </c>
      <c r="E192" s="7" t="str">
        <f>"22020100710"</f>
        <v>22020100710</v>
      </c>
      <c r="F192" s="7" t="str">
        <f t="shared" si="17"/>
        <v>007</v>
      </c>
      <c r="G192" s="7" t="str">
        <f>"10"</f>
        <v>10</v>
      </c>
      <c r="H192" s="7">
        <v>67.3</v>
      </c>
    </row>
    <row r="193" ht="22.95" customHeight="1" spans="1:8">
      <c r="A193" s="6">
        <v>191</v>
      </c>
      <c r="B193" s="7" t="str">
        <f t="shared" si="13"/>
        <v>01</v>
      </c>
      <c r="C193" s="7" t="str">
        <f>"李傲"</f>
        <v>李傲</v>
      </c>
      <c r="D193" s="7" t="str">
        <f t="shared" si="16"/>
        <v>男</v>
      </c>
      <c r="E193" s="7" t="str">
        <f>"22020100711"</f>
        <v>22020100711</v>
      </c>
      <c r="F193" s="7" t="str">
        <f t="shared" si="17"/>
        <v>007</v>
      </c>
      <c r="G193" s="7" t="str">
        <f>"11"</f>
        <v>11</v>
      </c>
      <c r="H193" s="7">
        <v>75.7</v>
      </c>
    </row>
    <row r="194" ht="22.95" customHeight="1" spans="1:8">
      <c r="A194" s="6">
        <v>192</v>
      </c>
      <c r="B194" s="7" t="str">
        <f t="shared" si="13"/>
        <v>01</v>
      </c>
      <c r="C194" s="7" t="str">
        <f>"杜昉"</f>
        <v>杜昉</v>
      </c>
      <c r="D194" s="7" t="str">
        <f t="shared" si="16"/>
        <v>男</v>
      </c>
      <c r="E194" s="7" t="str">
        <f>"22020100712"</f>
        <v>22020100712</v>
      </c>
      <c r="F194" s="7" t="str">
        <f t="shared" si="17"/>
        <v>007</v>
      </c>
      <c r="G194" s="7" t="str">
        <f>"12"</f>
        <v>12</v>
      </c>
      <c r="H194" s="7">
        <v>71.7</v>
      </c>
    </row>
    <row r="195" ht="22.95" customHeight="1" spans="1:8">
      <c r="A195" s="6">
        <v>193</v>
      </c>
      <c r="B195" s="7" t="str">
        <f t="shared" ref="B195:B258" si="18">"01"</f>
        <v>01</v>
      </c>
      <c r="C195" s="7" t="str">
        <f>"倪庆亮"</f>
        <v>倪庆亮</v>
      </c>
      <c r="D195" s="7" t="str">
        <f t="shared" si="16"/>
        <v>男</v>
      </c>
      <c r="E195" s="7" t="str">
        <f>"22020100713"</f>
        <v>22020100713</v>
      </c>
      <c r="F195" s="7" t="str">
        <f t="shared" si="17"/>
        <v>007</v>
      </c>
      <c r="G195" s="7" t="str">
        <f>"13"</f>
        <v>13</v>
      </c>
      <c r="H195" s="7">
        <v>58.9</v>
      </c>
    </row>
    <row r="196" ht="22.95" customHeight="1" spans="1:8">
      <c r="A196" s="6">
        <v>194</v>
      </c>
      <c r="B196" s="7" t="str">
        <f t="shared" si="18"/>
        <v>01</v>
      </c>
      <c r="C196" s="7" t="str">
        <f>"黄德印"</f>
        <v>黄德印</v>
      </c>
      <c r="D196" s="7" t="str">
        <f t="shared" si="16"/>
        <v>男</v>
      </c>
      <c r="E196" s="7" t="str">
        <f>"22020100714"</f>
        <v>22020100714</v>
      </c>
      <c r="F196" s="7" t="str">
        <f t="shared" si="17"/>
        <v>007</v>
      </c>
      <c r="G196" s="7" t="str">
        <f>"14"</f>
        <v>14</v>
      </c>
      <c r="H196" s="7" t="s">
        <v>9</v>
      </c>
    </row>
    <row r="197" ht="22.95" customHeight="1" spans="1:8">
      <c r="A197" s="6">
        <v>195</v>
      </c>
      <c r="B197" s="7" t="str">
        <f t="shared" si="18"/>
        <v>01</v>
      </c>
      <c r="C197" s="7" t="str">
        <f>"刘龙朝"</f>
        <v>刘龙朝</v>
      </c>
      <c r="D197" s="7" t="str">
        <f t="shared" si="16"/>
        <v>男</v>
      </c>
      <c r="E197" s="7" t="str">
        <f>"22020100715"</f>
        <v>22020100715</v>
      </c>
      <c r="F197" s="7" t="str">
        <f t="shared" si="17"/>
        <v>007</v>
      </c>
      <c r="G197" s="7" t="str">
        <f>"15"</f>
        <v>15</v>
      </c>
      <c r="H197" s="7">
        <v>41</v>
      </c>
    </row>
    <row r="198" ht="22.95" customHeight="1" spans="1:8">
      <c r="A198" s="6">
        <v>196</v>
      </c>
      <c r="B198" s="7" t="str">
        <f t="shared" si="18"/>
        <v>01</v>
      </c>
      <c r="C198" s="7" t="str">
        <f>"周栋"</f>
        <v>周栋</v>
      </c>
      <c r="D198" s="7" t="str">
        <f t="shared" si="16"/>
        <v>男</v>
      </c>
      <c r="E198" s="7" t="str">
        <f>"22020100716"</f>
        <v>22020100716</v>
      </c>
      <c r="F198" s="7" t="str">
        <f t="shared" si="17"/>
        <v>007</v>
      </c>
      <c r="G198" s="7" t="str">
        <f>"16"</f>
        <v>16</v>
      </c>
      <c r="H198" s="7">
        <v>67.2</v>
      </c>
    </row>
    <row r="199" ht="22.95" customHeight="1" spans="1:8">
      <c r="A199" s="6">
        <v>197</v>
      </c>
      <c r="B199" s="7" t="str">
        <f t="shared" si="18"/>
        <v>01</v>
      </c>
      <c r="C199" s="7" t="str">
        <f>"李杰"</f>
        <v>李杰</v>
      </c>
      <c r="D199" s="7" t="str">
        <f t="shared" si="16"/>
        <v>男</v>
      </c>
      <c r="E199" s="7" t="str">
        <f>"22020100717"</f>
        <v>22020100717</v>
      </c>
      <c r="F199" s="7" t="str">
        <f t="shared" si="17"/>
        <v>007</v>
      </c>
      <c r="G199" s="7" t="str">
        <f>"17"</f>
        <v>17</v>
      </c>
      <c r="H199" s="7">
        <v>49.7</v>
      </c>
    </row>
    <row r="200" ht="22.95" customHeight="1" spans="1:8">
      <c r="A200" s="6">
        <v>198</v>
      </c>
      <c r="B200" s="7" t="str">
        <f t="shared" si="18"/>
        <v>01</v>
      </c>
      <c r="C200" s="7" t="str">
        <f>"王茜"</f>
        <v>王茜</v>
      </c>
      <c r="D200" s="7" t="str">
        <f>"女"</f>
        <v>女</v>
      </c>
      <c r="E200" s="7" t="str">
        <f>"22020100718"</f>
        <v>22020100718</v>
      </c>
      <c r="F200" s="7" t="str">
        <f t="shared" si="17"/>
        <v>007</v>
      </c>
      <c r="G200" s="7" t="str">
        <f>"18"</f>
        <v>18</v>
      </c>
      <c r="H200" s="7">
        <v>79</v>
      </c>
    </row>
    <row r="201" ht="22.95" customHeight="1" spans="1:8">
      <c r="A201" s="6">
        <v>199</v>
      </c>
      <c r="B201" s="7" t="str">
        <f t="shared" si="18"/>
        <v>01</v>
      </c>
      <c r="C201" s="7" t="str">
        <f>"刘亚楠"</f>
        <v>刘亚楠</v>
      </c>
      <c r="D201" s="7" t="str">
        <f>"女"</f>
        <v>女</v>
      </c>
      <c r="E201" s="7" t="str">
        <f>"22020100719"</f>
        <v>22020100719</v>
      </c>
      <c r="F201" s="7" t="str">
        <f t="shared" si="17"/>
        <v>007</v>
      </c>
      <c r="G201" s="7" t="str">
        <f>"19"</f>
        <v>19</v>
      </c>
      <c r="H201" s="7">
        <v>78.4</v>
      </c>
    </row>
    <row r="202" ht="22.95" customHeight="1" spans="1:8">
      <c r="A202" s="6">
        <v>200</v>
      </c>
      <c r="B202" s="7" t="str">
        <f t="shared" si="18"/>
        <v>01</v>
      </c>
      <c r="C202" s="7" t="str">
        <f>"金玥"</f>
        <v>金玥</v>
      </c>
      <c r="D202" s="7" t="str">
        <f>"女"</f>
        <v>女</v>
      </c>
      <c r="E202" s="7" t="str">
        <f>"22020100720"</f>
        <v>22020100720</v>
      </c>
      <c r="F202" s="7" t="str">
        <f t="shared" si="17"/>
        <v>007</v>
      </c>
      <c r="G202" s="7" t="str">
        <f>"20"</f>
        <v>20</v>
      </c>
      <c r="H202" s="7">
        <v>53.8</v>
      </c>
    </row>
    <row r="203" ht="22.95" customHeight="1" spans="1:8">
      <c r="A203" s="6">
        <v>201</v>
      </c>
      <c r="B203" s="7" t="str">
        <f t="shared" si="18"/>
        <v>01</v>
      </c>
      <c r="C203" s="7" t="str">
        <f>"惠翼"</f>
        <v>惠翼</v>
      </c>
      <c r="D203" s="7" t="str">
        <f>"男"</f>
        <v>男</v>
      </c>
      <c r="E203" s="7" t="str">
        <f>"22020100721"</f>
        <v>22020100721</v>
      </c>
      <c r="F203" s="7" t="str">
        <f t="shared" si="17"/>
        <v>007</v>
      </c>
      <c r="G203" s="7" t="str">
        <f>"21"</f>
        <v>21</v>
      </c>
      <c r="H203" s="7">
        <v>69.2</v>
      </c>
    </row>
    <row r="204" ht="22.95" customHeight="1" spans="1:8">
      <c r="A204" s="6">
        <v>202</v>
      </c>
      <c r="B204" s="7" t="str">
        <f t="shared" si="18"/>
        <v>01</v>
      </c>
      <c r="C204" s="7" t="str">
        <f>"吴小静"</f>
        <v>吴小静</v>
      </c>
      <c r="D204" s="7" t="str">
        <f>"女"</f>
        <v>女</v>
      </c>
      <c r="E204" s="7" t="str">
        <f>"22020100722"</f>
        <v>22020100722</v>
      </c>
      <c r="F204" s="7" t="str">
        <f t="shared" si="17"/>
        <v>007</v>
      </c>
      <c r="G204" s="7" t="str">
        <f>"22"</f>
        <v>22</v>
      </c>
      <c r="H204" s="7">
        <v>56.5</v>
      </c>
    </row>
    <row r="205" ht="22.95" customHeight="1" spans="1:8">
      <c r="A205" s="6">
        <v>203</v>
      </c>
      <c r="B205" s="7" t="str">
        <f t="shared" si="18"/>
        <v>01</v>
      </c>
      <c r="C205" s="7" t="str">
        <f>"陈博"</f>
        <v>陈博</v>
      </c>
      <c r="D205" s="7" t="str">
        <f>"男"</f>
        <v>男</v>
      </c>
      <c r="E205" s="7" t="str">
        <f>"22020100723"</f>
        <v>22020100723</v>
      </c>
      <c r="F205" s="7" t="str">
        <f t="shared" si="17"/>
        <v>007</v>
      </c>
      <c r="G205" s="7" t="str">
        <f>"23"</f>
        <v>23</v>
      </c>
      <c r="H205" s="7">
        <v>54.5</v>
      </c>
    </row>
    <row r="206" ht="22.95" customHeight="1" spans="1:8">
      <c r="A206" s="6">
        <v>204</v>
      </c>
      <c r="B206" s="7" t="str">
        <f t="shared" si="18"/>
        <v>01</v>
      </c>
      <c r="C206" s="7" t="str">
        <f>"高媛"</f>
        <v>高媛</v>
      </c>
      <c r="D206" s="7" t="str">
        <f>"女"</f>
        <v>女</v>
      </c>
      <c r="E206" s="7" t="str">
        <f>"22020100724"</f>
        <v>22020100724</v>
      </c>
      <c r="F206" s="7" t="str">
        <f t="shared" si="17"/>
        <v>007</v>
      </c>
      <c r="G206" s="7" t="str">
        <f>"24"</f>
        <v>24</v>
      </c>
      <c r="H206" s="7">
        <v>57.4</v>
      </c>
    </row>
    <row r="207" ht="22.95" customHeight="1" spans="1:8">
      <c r="A207" s="6">
        <v>205</v>
      </c>
      <c r="B207" s="7" t="str">
        <f t="shared" si="18"/>
        <v>01</v>
      </c>
      <c r="C207" s="7" t="str">
        <f>"张倩"</f>
        <v>张倩</v>
      </c>
      <c r="D207" s="7" t="str">
        <f>"女"</f>
        <v>女</v>
      </c>
      <c r="E207" s="7" t="str">
        <f>"22020100725"</f>
        <v>22020100725</v>
      </c>
      <c r="F207" s="7" t="str">
        <f t="shared" si="17"/>
        <v>007</v>
      </c>
      <c r="G207" s="7" t="str">
        <f>"25"</f>
        <v>25</v>
      </c>
      <c r="H207" s="7">
        <v>72.4</v>
      </c>
    </row>
    <row r="208" ht="22.95" customHeight="1" spans="1:8">
      <c r="A208" s="6">
        <v>206</v>
      </c>
      <c r="B208" s="7" t="str">
        <f t="shared" si="18"/>
        <v>01</v>
      </c>
      <c r="C208" s="7" t="str">
        <f>"苏华文"</f>
        <v>苏华文</v>
      </c>
      <c r="D208" s="7" t="str">
        <f>"男"</f>
        <v>男</v>
      </c>
      <c r="E208" s="7" t="str">
        <f>"22020100726"</f>
        <v>22020100726</v>
      </c>
      <c r="F208" s="7" t="str">
        <f t="shared" si="17"/>
        <v>007</v>
      </c>
      <c r="G208" s="7" t="str">
        <f>"26"</f>
        <v>26</v>
      </c>
      <c r="H208" s="7">
        <v>71.1</v>
      </c>
    </row>
    <row r="209" ht="22.95" customHeight="1" spans="1:8">
      <c r="A209" s="6">
        <v>207</v>
      </c>
      <c r="B209" s="7" t="str">
        <f t="shared" si="18"/>
        <v>01</v>
      </c>
      <c r="C209" s="7" t="str">
        <f>"张鹤"</f>
        <v>张鹤</v>
      </c>
      <c r="D209" s="7" t="str">
        <f>"女"</f>
        <v>女</v>
      </c>
      <c r="E209" s="7" t="str">
        <f>"22020100727"</f>
        <v>22020100727</v>
      </c>
      <c r="F209" s="7" t="str">
        <f t="shared" si="17"/>
        <v>007</v>
      </c>
      <c r="G209" s="7" t="str">
        <f>"27"</f>
        <v>27</v>
      </c>
      <c r="H209" s="7">
        <v>53.4</v>
      </c>
    </row>
    <row r="210" ht="22.95" customHeight="1" spans="1:8">
      <c r="A210" s="6">
        <v>208</v>
      </c>
      <c r="B210" s="7" t="str">
        <f t="shared" si="18"/>
        <v>01</v>
      </c>
      <c r="C210" s="7" t="str">
        <f>"闫泳充"</f>
        <v>闫泳充</v>
      </c>
      <c r="D210" s="7" t="str">
        <f>"男"</f>
        <v>男</v>
      </c>
      <c r="E210" s="7" t="str">
        <f>"22020100728"</f>
        <v>22020100728</v>
      </c>
      <c r="F210" s="7" t="str">
        <f t="shared" si="17"/>
        <v>007</v>
      </c>
      <c r="G210" s="7" t="str">
        <f>"28"</f>
        <v>28</v>
      </c>
      <c r="H210" s="7">
        <v>53</v>
      </c>
    </row>
    <row r="211" ht="22.95" customHeight="1" spans="1:8">
      <c r="A211" s="6">
        <v>209</v>
      </c>
      <c r="B211" s="7" t="str">
        <f t="shared" si="18"/>
        <v>01</v>
      </c>
      <c r="C211" s="7" t="str">
        <f>"赵倩"</f>
        <v>赵倩</v>
      </c>
      <c r="D211" s="7" t="str">
        <f>"女"</f>
        <v>女</v>
      </c>
      <c r="E211" s="7" t="str">
        <f>"22020100729"</f>
        <v>22020100729</v>
      </c>
      <c r="F211" s="7" t="str">
        <f t="shared" si="17"/>
        <v>007</v>
      </c>
      <c r="G211" s="7" t="str">
        <f>"29"</f>
        <v>29</v>
      </c>
      <c r="H211" s="7">
        <v>66.9</v>
      </c>
    </row>
    <row r="212" ht="22.95" customHeight="1" spans="1:8">
      <c r="A212" s="6">
        <v>210</v>
      </c>
      <c r="B212" s="7" t="str">
        <f t="shared" si="18"/>
        <v>01</v>
      </c>
      <c r="C212" s="7" t="str">
        <f>"李洋"</f>
        <v>李洋</v>
      </c>
      <c r="D212" s="7" t="str">
        <f t="shared" ref="D212:D219" si="19">"男"</f>
        <v>男</v>
      </c>
      <c r="E212" s="7" t="str">
        <f>"22020100730"</f>
        <v>22020100730</v>
      </c>
      <c r="F212" s="7" t="str">
        <f t="shared" si="17"/>
        <v>007</v>
      </c>
      <c r="G212" s="7" t="str">
        <f>"30"</f>
        <v>30</v>
      </c>
      <c r="H212" s="7">
        <v>66.6</v>
      </c>
    </row>
    <row r="213" ht="22.95" customHeight="1" spans="1:8">
      <c r="A213" s="6">
        <v>211</v>
      </c>
      <c r="B213" s="7" t="str">
        <f t="shared" si="18"/>
        <v>01</v>
      </c>
      <c r="C213" s="7" t="str">
        <f>"王一品"</f>
        <v>王一品</v>
      </c>
      <c r="D213" s="7" t="str">
        <f t="shared" si="19"/>
        <v>男</v>
      </c>
      <c r="E213" s="7" t="str">
        <f>"22020100801"</f>
        <v>22020100801</v>
      </c>
      <c r="F213" s="7" t="str">
        <f t="shared" ref="F213:F242" si="20">"008"</f>
        <v>008</v>
      </c>
      <c r="G213" s="7" t="str">
        <f>"01"</f>
        <v>01</v>
      </c>
      <c r="H213" s="7">
        <v>58.2</v>
      </c>
    </row>
    <row r="214" ht="22.95" customHeight="1" spans="1:8">
      <c r="A214" s="6">
        <v>212</v>
      </c>
      <c r="B214" s="7" t="str">
        <f t="shared" si="18"/>
        <v>01</v>
      </c>
      <c r="C214" s="7" t="str">
        <f>"赵项宇"</f>
        <v>赵项宇</v>
      </c>
      <c r="D214" s="7" t="str">
        <f t="shared" si="19"/>
        <v>男</v>
      </c>
      <c r="E214" s="7" t="str">
        <f>"22020100802"</f>
        <v>22020100802</v>
      </c>
      <c r="F214" s="7" t="str">
        <f t="shared" si="20"/>
        <v>008</v>
      </c>
      <c r="G214" s="7" t="str">
        <f>"02"</f>
        <v>02</v>
      </c>
      <c r="H214" s="7" t="s">
        <v>9</v>
      </c>
    </row>
    <row r="215" ht="22.95" customHeight="1" spans="1:8">
      <c r="A215" s="6">
        <v>213</v>
      </c>
      <c r="B215" s="7" t="str">
        <f t="shared" si="18"/>
        <v>01</v>
      </c>
      <c r="C215" s="7" t="str">
        <f>"牛燕坤"</f>
        <v>牛燕坤</v>
      </c>
      <c r="D215" s="7" t="str">
        <f t="shared" si="19"/>
        <v>男</v>
      </c>
      <c r="E215" s="7" t="str">
        <f>"22020100803"</f>
        <v>22020100803</v>
      </c>
      <c r="F215" s="7" t="str">
        <f t="shared" si="20"/>
        <v>008</v>
      </c>
      <c r="G215" s="7" t="str">
        <f>"03"</f>
        <v>03</v>
      </c>
      <c r="H215" s="7">
        <v>57.1</v>
      </c>
    </row>
    <row r="216" ht="22.95" customHeight="1" spans="1:8">
      <c r="A216" s="6">
        <v>214</v>
      </c>
      <c r="B216" s="7" t="str">
        <f t="shared" si="18"/>
        <v>01</v>
      </c>
      <c r="C216" s="7" t="str">
        <f>"曲阳"</f>
        <v>曲阳</v>
      </c>
      <c r="D216" s="7" t="str">
        <f t="shared" si="19"/>
        <v>男</v>
      </c>
      <c r="E216" s="7" t="str">
        <f>"22020100804"</f>
        <v>22020100804</v>
      </c>
      <c r="F216" s="7" t="str">
        <f t="shared" si="20"/>
        <v>008</v>
      </c>
      <c r="G216" s="7" t="str">
        <f>"04"</f>
        <v>04</v>
      </c>
      <c r="H216" s="7">
        <v>54.5</v>
      </c>
    </row>
    <row r="217" ht="22.95" customHeight="1" spans="1:8">
      <c r="A217" s="6">
        <v>215</v>
      </c>
      <c r="B217" s="7" t="str">
        <f t="shared" si="18"/>
        <v>01</v>
      </c>
      <c r="C217" s="7" t="str">
        <f>"曲超"</f>
        <v>曲超</v>
      </c>
      <c r="D217" s="7" t="str">
        <f t="shared" si="19"/>
        <v>男</v>
      </c>
      <c r="E217" s="7" t="str">
        <f>"22020100805"</f>
        <v>22020100805</v>
      </c>
      <c r="F217" s="7" t="str">
        <f t="shared" si="20"/>
        <v>008</v>
      </c>
      <c r="G217" s="7" t="str">
        <f>"05"</f>
        <v>05</v>
      </c>
      <c r="H217" s="7">
        <v>60.8</v>
      </c>
    </row>
    <row r="218" ht="22.95" customHeight="1" spans="1:8">
      <c r="A218" s="6">
        <v>216</v>
      </c>
      <c r="B218" s="7" t="str">
        <f t="shared" si="18"/>
        <v>01</v>
      </c>
      <c r="C218" s="7" t="str">
        <f>"向伟伟"</f>
        <v>向伟伟</v>
      </c>
      <c r="D218" s="7" t="str">
        <f t="shared" si="19"/>
        <v>男</v>
      </c>
      <c r="E218" s="7" t="str">
        <f>"22020100806"</f>
        <v>22020100806</v>
      </c>
      <c r="F218" s="7" t="str">
        <f t="shared" si="20"/>
        <v>008</v>
      </c>
      <c r="G218" s="7" t="str">
        <f>"06"</f>
        <v>06</v>
      </c>
      <c r="H218" s="7">
        <v>67.4</v>
      </c>
    </row>
    <row r="219" ht="22.95" customHeight="1" spans="1:8">
      <c r="A219" s="6">
        <v>217</v>
      </c>
      <c r="B219" s="7" t="str">
        <f t="shared" si="18"/>
        <v>01</v>
      </c>
      <c r="C219" s="7" t="str">
        <f>"李东阳"</f>
        <v>李东阳</v>
      </c>
      <c r="D219" s="7" t="str">
        <f t="shared" si="19"/>
        <v>男</v>
      </c>
      <c r="E219" s="7" t="str">
        <f>"22020100807"</f>
        <v>22020100807</v>
      </c>
      <c r="F219" s="7" t="str">
        <f t="shared" si="20"/>
        <v>008</v>
      </c>
      <c r="G219" s="7" t="str">
        <f>"07"</f>
        <v>07</v>
      </c>
      <c r="H219" s="7">
        <v>61.8</v>
      </c>
    </row>
    <row r="220" ht="22.95" customHeight="1" spans="1:8">
      <c r="A220" s="6">
        <v>218</v>
      </c>
      <c r="B220" s="7" t="str">
        <f t="shared" si="18"/>
        <v>01</v>
      </c>
      <c r="C220" s="7" t="str">
        <f>"彭柯"</f>
        <v>彭柯</v>
      </c>
      <c r="D220" s="7" t="str">
        <f>"女"</f>
        <v>女</v>
      </c>
      <c r="E220" s="7" t="str">
        <f>"22020100808"</f>
        <v>22020100808</v>
      </c>
      <c r="F220" s="7" t="str">
        <f t="shared" si="20"/>
        <v>008</v>
      </c>
      <c r="G220" s="7" t="str">
        <f>"08"</f>
        <v>08</v>
      </c>
      <c r="H220" s="7" t="s">
        <v>9</v>
      </c>
    </row>
    <row r="221" ht="22.95" customHeight="1" spans="1:8">
      <c r="A221" s="6">
        <v>219</v>
      </c>
      <c r="B221" s="7" t="str">
        <f t="shared" si="18"/>
        <v>01</v>
      </c>
      <c r="C221" s="7" t="str">
        <f>"刘刚"</f>
        <v>刘刚</v>
      </c>
      <c r="D221" s="7" t="str">
        <f>"男"</f>
        <v>男</v>
      </c>
      <c r="E221" s="7" t="str">
        <f>"22020100809"</f>
        <v>22020100809</v>
      </c>
      <c r="F221" s="7" t="str">
        <f t="shared" si="20"/>
        <v>008</v>
      </c>
      <c r="G221" s="7" t="str">
        <f>"09"</f>
        <v>09</v>
      </c>
      <c r="H221" s="7">
        <v>63.9</v>
      </c>
    </row>
    <row r="222" ht="22.95" customHeight="1" spans="1:8">
      <c r="A222" s="6">
        <v>220</v>
      </c>
      <c r="B222" s="7" t="str">
        <f t="shared" si="18"/>
        <v>01</v>
      </c>
      <c r="C222" s="7" t="str">
        <f>"赵一"</f>
        <v>赵一</v>
      </c>
      <c r="D222" s="7" t="str">
        <f>"男"</f>
        <v>男</v>
      </c>
      <c r="E222" s="7" t="str">
        <f>"22020100810"</f>
        <v>22020100810</v>
      </c>
      <c r="F222" s="7" t="str">
        <f t="shared" si="20"/>
        <v>008</v>
      </c>
      <c r="G222" s="7" t="str">
        <f>"10"</f>
        <v>10</v>
      </c>
      <c r="H222" s="7">
        <v>54</v>
      </c>
    </row>
    <row r="223" ht="22.95" customHeight="1" spans="1:8">
      <c r="A223" s="6">
        <v>221</v>
      </c>
      <c r="B223" s="7" t="str">
        <f t="shared" si="18"/>
        <v>01</v>
      </c>
      <c r="C223" s="7" t="str">
        <f>"王梦梦"</f>
        <v>王梦梦</v>
      </c>
      <c r="D223" s="7" t="str">
        <f>"女"</f>
        <v>女</v>
      </c>
      <c r="E223" s="7" t="str">
        <f>"22020100811"</f>
        <v>22020100811</v>
      </c>
      <c r="F223" s="7" t="str">
        <f t="shared" si="20"/>
        <v>008</v>
      </c>
      <c r="G223" s="7" t="str">
        <f>"11"</f>
        <v>11</v>
      </c>
      <c r="H223" s="7">
        <v>59.1</v>
      </c>
    </row>
    <row r="224" ht="22.95" customHeight="1" spans="1:8">
      <c r="A224" s="6">
        <v>222</v>
      </c>
      <c r="B224" s="7" t="str">
        <f t="shared" si="18"/>
        <v>01</v>
      </c>
      <c r="C224" s="7" t="str">
        <f>"赵海清"</f>
        <v>赵海清</v>
      </c>
      <c r="D224" s="7" t="str">
        <f>"女"</f>
        <v>女</v>
      </c>
      <c r="E224" s="7" t="str">
        <f>"22020100812"</f>
        <v>22020100812</v>
      </c>
      <c r="F224" s="7" t="str">
        <f t="shared" si="20"/>
        <v>008</v>
      </c>
      <c r="G224" s="7" t="str">
        <f>"12"</f>
        <v>12</v>
      </c>
      <c r="H224" s="7">
        <v>69</v>
      </c>
    </row>
    <row r="225" ht="22.95" customHeight="1" spans="1:8">
      <c r="A225" s="6">
        <v>223</v>
      </c>
      <c r="B225" s="7" t="str">
        <f t="shared" si="18"/>
        <v>01</v>
      </c>
      <c r="C225" s="7" t="str">
        <f>"白杨"</f>
        <v>白杨</v>
      </c>
      <c r="D225" s="7" t="str">
        <f>"女"</f>
        <v>女</v>
      </c>
      <c r="E225" s="7" t="str">
        <f>"22020100813"</f>
        <v>22020100813</v>
      </c>
      <c r="F225" s="7" t="str">
        <f t="shared" si="20"/>
        <v>008</v>
      </c>
      <c r="G225" s="7" t="str">
        <f>"13"</f>
        <v>13</v>
      </c>
      <c r="H225" s="7">
        <v>77.7</v>
      </c>
    </row>
    <row r="226" ht="22.95" customHeight="1" spans="1:8">
      <c r="A226" s="6">
        <v>224</v>
      </c>
      <c r="B226" s="7" t="str">
        <f t="shared" si="18"/>
        <v>01</v>
      </c>
      <c r="C226" s="7" t="str">
        <f>"常帅"</f>
        <v>常帅</v>
      </c>
      <c r="D226" s="7" t="str">
        <f t="shared" ref="D226:D232" si="21">"男"</f>
        <v>男</v>
      </c>
      <c r="E226" s="7" t="str">
        <f>"22020100814"</f>
        <v>22020100814</v>
      </c>
      <c r="F226" s="7" t="str">
        <f t="shared" si="20"/>
        <v>008</v>
      </c>
      <c r="G226" s="7" t="str">
        <f>"14"</f>
        <v>14</v>
      </c>
      <c r="H226" s="7">
        <v>66.8</v>
      </c>
    </row>
    <row r="227" ht="22.95" customHeight="1" spans="1:8">
      <c r="A227" s="6">
        <v>225</v>
      </c>
      <c r="B227" s="7" t="str">
        <f t="shared" si="18"/>
        <v>01</v>
      </c>
      <c r="C227" s="7" t="str">
        <f>"史崇满"</f>
        <v>史崇满</v>
      </c>
      <c r="D227" s="7" t="str">
        <f t="shared" si="21"/>
        <v>男</v>
      </c>
      <c r="E227" s="7" t="str">
        <f>"22020100815"</f>
        <v>22020100815</v>
      </c>
      <c r="F227" s="7" t="str">
        <f t="shared" si="20"/>
        <v>008</v>
      </c>
      <c r="G227" s="7" t="str">
        <f>"15"</f>
        <v>15</v>
      </c>
      <c r="H227" s="7">
        <v>60.4</v>
      </c>
    </row>
    <row r="228" ht="22.95" customHeight="1" spans="1:8">
      <c r="A228" s="6">
        <v>226</v>
      </c>
      <c r="B228" s="7" t="str">
        <f t="shared" si="18"/>
        <v>01</v>
      </c>
      <c r="C228" s="7" t="str">
        <f>"郭军平"</f>
        <v>郭军平</v>
      </c>
      <c r="D228" s="7" t="str">
        <f t="shared" si="21"/>
        <v>男</v>
      </c>
      <c r="E228" s="7" t="str">
        <f>"22020100816"</f>
        <v>22020100816</v>
      </c>
      <c r="F228" s="7" t="str">
        <f t="shared" si="20"/>
        <v>008</v>
      </c>
      <c r="G228" s="7" t="str">
        <f>"16"</f>
        <v>16</v>
      </c>
      <c r="H228" s="7">
        <v>59.7</v>
      </c>
    </row>
    <row r="229" ht="22.95" customHeight="1" spans="1:8">
      <c r="A229" s="6">
        <v>227</v>
      </c>
      <c r="B229" s="7" t="str">
        <f t="shared" si="18"/>
        <v>01</v>
      </c>
      <c r="C229" s="7" t="str">
        <f>"柴金龙"</f>
        <v>柴金龙</v>
      </c>
      <c r="D229" s="7" t="str">
        <f t="shared" si="21"/>
        <v>男</v>
      </c>
      <c r="E229" s="7" t="str">
        <f>"22020100817"</f>
        <v>22020100817</v>
      </c>
      <c r="F229" s="7" t="str">
        <f t="shared" si="20"/>
        <v>008</v>
      </c>
      <c r="G229" s="7" t="str">
        <f>"17"</f>
        <v>17</v>
      </c>
      <c r="H229" s="7">
        <v>78.1</v>
      </c>
    </row>
    <row r="230" ht="22.95" customHeight="1" spans="1:8">
      <c r="A230" s="6">
        <v>228</v>
      </c>
      <c r="B230" s="7" t="str">
        <f t="shared" si="18"/>
        <v>01</v>
      </c>
      <c r="C230" s="7" t="str">
        <f>"鲁楠"</f>
        <v>鲁楠</v>
      </c>
      <c r="D230" s="7" t="str">
        <f t="shared" si="21"/>
        <v>男</v>
      </c>
      <c r="E230" s="7" t="str">
        <f>"22020100818"</f>
        <v>22020100818</v>
      </c>
      <c r="F230" s="7" t="str">
        <f t="shared" si="20"/>
        <v>008</v>
      </c>
      <c r="G230" s="7" t="str">
        <f>"18"</f>
        <v>18</v>
      </c>
      <c r="H230" s="7">
        <v>64.1</v>
      </c>
    </row>
    <row r="231" ht="22.95" customHeight="1" spans="1:8">
      <c r="A231" s="6">
        <v>229</v>
      </c>
      <c r="B231" s="7" t="str">
        <f t="shared" si="18"/>
        <v>01</v>
      </c>
      <c r="C231" s="7" t="str">
        <f>"张峻祎"</f>
        <v>张峻祎</v>
      </c>
      <c r="D231" s="7" t="str">
        <f t="shared" si="21"/>
        <v>男</v>
      </c>
      <c r="E231" s="7" t="str">
        <f>"22020100819"</f>
        <v>22020100819</v>
      </c>
      <c r="F231" s="7" t="str">
        <f t="shared" si="20"/>
        <v>008</v>
      </c>
      <c r="G231" s="7" t="str">
        <f>"19"</f>
        <v>19</v>
      </c>
      <c r="H231" s="7">
        <v>68.1</v>
      </c>
    </row>
    <row r="232" ht="22.95" customHeight="1" spans="1:8">
      <c r="A232" s="6">
        <v>230</v>
      </c>
      <c r="B232" s="7" t="str">
        <f t="shared" si="18"/>
        <v>01</v>
      </c>
      <c r="C232" s="7" t="str">
        <f>"吕政"</f>
        <v>吕政</v>
      </c>
      <c r="D232" s="7" t="str">
        <f t="shared" si="21"/>
        <v>男</v>
      </c>
      <c r="E232" s="7" t="str">
        <f>"22020100820"</f>
        <v>22020100820</v>
      </c>
      <c r="F232" s="7" t="str">
        <f t="shared" si="20"/>
        <v>008</v>
      </c>
      <c r="G232" s="7" t="str">
        <f>"20"</f>
        <v>20</v>
      </c>
      <c r="H232" s="7">
        <v>70.1</v>
      </c>
    </row>
    <row r="233" ht="22.95" customHeight="1" spans="1:8">
      <c r="A233" s="6">
        <v>231</v>
      </c>
      <c r="B233" s="7" t="str">
        <f t="shared" si="18"/>
        <v>01</v>
      </c>
      <c r="C233" s="7" t="str">
        <f>"王乐"</f>
        <v>王乐</v>
      </c>
      <c r="D233" s="7" t="str">
        <f>"女"</f>
        <v>女</v>
      </c>
      <c r="E233" s="7" t="str">
        <f>"22020100821"</f>
        <v>22020100821</v>
      </c>
      <c r="F233" s="7" t="str">
        <f t="shared" si="20"/>
        <v>008</v>
      </c>
      <c r="G233" s="7" t="str">
        <f>"21"</f>
        <v>21</v>
      </c>
      <c r="H233" s="7">
        <v>69.1</v>
      </c>
    </row>
    <row r="234" ht="22.95" customHeight="1" spans="1:8">
      <c r="A234" s="6">
        <v>232</v>
      </c>
      <c r="B234" s="7" t="str">
        <f t="shared" si="18"/>
        <v>01</v>
      </c>
      <c r="C234" s="7" t="str">
        <f>"何驰"</f>
        <v>何驰</v>
      </c>
      <c r="D234" s="7" t="str">
        <f>"男"</f>
        <v>男</v>
      </c>
      <c r="E234" s="7" t="str">
        <f>"22020100822"</f>
        <v>22020100822</v>
      </c>
      <c r="F234" s="7" t="str">
        <f t="shared" si="20"/>
        <v>008</v>
      </c>
      <c r="G234" s="7" t="str">
        <f>"22"</f>
        <v>22</v>
      </c>
      <c r="H234" s="7">
        <v>57.3</v>
      </c>
    </row>
    <row r="235" ht="22.95" customHeight="1" spans="1:8">
      <c r="A235" s="6">
        <v>233</v>
      </c>
      <c r="B235" s="7" t="str">
        <f t="shared" si="18"/>
        <v>01</v>
      </c>
      <c r="C235" s="7" t="str">
        <f>"刘龙江"</f>
        <v>刘龙江</v>
      </c>
      <c r="D235" s="7" t="str">
        <f>"男"</f>
        <v>男</v>
      </c>
      <c r="E235" s="7" t="str">
        <f>"22020100823"</f>
        <v>22020100823</v>
      </c>
      <c r="F235" s="7" t="str">
        <f t="shared" si="20"/>
        <v>008</v>
      </c>
      <c r="G235" s="7" t="str">
        <f>"23"</f>
        <v>23</v>
      </c>
      <c r="H235" s="7">
        <v>48.2</v>
      </c>
    </row>
    <row r="236" ht="22.95" customHeight="1" spans="1:8">
      <c r="A236" s="6">
        <v>234</v>
      </c>
      <c r="B236" s="7" t="str">
        <f t="shared" si="18"/>
        <v>01</v>
      </c>
      <c r="C236" s="7" t="str">
        <f>"张洋"</f>
        <v>张洋</v>
      </c>
      <c r="D236" s="7" t="str">
        <f>"男"</f>
        <v>男</v>
      </c>
      <c r="E236" s="7" t="str">
        <f>"22020100824"</f>
        <v>22020100824</v>
      </c>
      <c r="F236" s="7" t="str">
        <f t="shared" si="20"/>
        <v>008</v>
      </c>
      <c r="G236" s="7" t="str">
        <f>"24"</f>
        <v>24</v>
      </c>
      <c r="H236" s="7">
        <v>60.2</v>
      </c>
    </row>
    <row r="237" ht="22.95" customHeight="1" spans="1:8">
      <c r="A237" s="6">
        <v>235</v>
      </c>
      <c r="B237" s="7" t="str">
        <f t="shared" si="18"/>
        <v>01</v>
      </c>
      <c r="C237" s="7" t="str">
        <f>"吴林超"</f>
        <v>吴林超</v>
      </c>
      <c r="D237" s="7" t="str">
        <f>"男"</f>
        <v>男</v>
      </c>
      <c r="E237" s="7" t="str">
        <f>"22020100825"</f>
        <v>22020100825</v>
      </c>
      <c r="F237" s="7" t="str">
        <f t="shared" si="20"/>
        <v>008</v>
      </c>
      <c r="G237" s="7" t="str">
        <f>"25"</f>
        <v>25</v>
      </c>
      <c r="H237" s="7">
        <v>71.3</v>
      </c>
    </row>
    <row r="238" ht="22.95" customHeight="1" spans="1:8">
      <c r="A238" s="6">
        <v>236</v>
      </c>
      <c r="B238" s="7" t="str">
        <f t="shared" si="18"/>
        <v>01</v>
      </c>
      <c r="C238" s="7" t="str">
        <f>"王自勉"</f>
        <v>王自勉</v>
      </c>
      <c r="D238" s="7" t="str">
        <f>"男"</f>
        <v>男</v>
      </c>
      <c r="E238" s="7" t="str">
        <f>"22020100826"</f>
        <v>22020100826</v>
      </c>
      <c r="F238" s="7" t="str">
        <f t="shared" si="20"/>
        <v>008</v>
      </c>
      <c r="G238" s="7" t="str">
        <f>"26"</f>
        <v>26</v>
      </c>
      <c r="H238" s="7">
        <v>66.8</v>
      </c>
    </row>
    <row r="239" ht="22.95" customHeight="1" spans="1:8">
      <c r="A239" s="6">
        <v>237</v>
      </c>
      <c r="B239" s="7" t="str">
        <f t="shared" si="18"/>
        <v>01</v>
      </c>
      <c r="C239" s="7" t="str">
        <f>"刘雅楠"</f>
        <v>刘雅楠</v>
      </c>
      <c r="D239" s="7" t="str">
        <f>"女"</f>
        <v>女</v>
      </c>
      <c r="E239" s="7" t="str">
        <f>"22020100827"</f>
        <v>22020100827</v>
      </c>
      <c r="F239" s="7" t="str">
        <f t="shared" si="20"/>
        <v>008</v>
      </c>
      <c r="G239" s="7" t="str">
        <f>"27"</f>
        <v>27</v>
      </c>
      <c r="H239" s="7">
        <v>75.1</v>
      </c>
    </row>
    <row r="240" ht="22.95" customHeight="1" spans="1:8">
      <c r="A240" s="6">
        <v>238</v>
      </c>
      <c r="B240" s="7" t="str">
        <f t="shared" si="18"/>
        <v>01</v>
      </c>
      <c r="C240" s="7" t="str">
        <f>"何磊"</f>
        <v>何磊</v>
      </c>
      <c r="D240" s="7" t="str">
        <f>"男"</f>
        <v>男</v>
      </c>
      <c r="E240" s="7" t="str">
        <f>"22020100828"</f>
        <v>22020100828</v>
      </c>
      <c r="F240" s="7" t="str">
        <f t="shared" si="20"/>
        <v>008</v>
      </c>
      <c r="G240" s="7" t="str">
        <f>"28"</f>
        <v>28</v>
      </c>
      <c r="H240" s="7">
        <v>57.1</v>
      </c>
    </row>
    <row r="241" ht="22.95" customHeight="1" spans="1:8">
      <c r="A241" s="6">
        <v>239</v>
      </c>
      <c r="B241" s="7" t="str">
        <f t="shared" si="18"/>
        <v>01</v>
      </c>
      <c r="C241" s="7" t="str">
        <f>"李喜"</f>
        <v>李喜</v>
      </c>
      <c r="D241" s="7" t="str">
        <f>"男"</f>
        <v>男</v>
      </c>
      <c r="E241" s="7" t="str">
        <f>"22020100829"</f>
        <v>22020100829</v>
      </c>
      <c r="F241" s="7" t="str">
        <f t="shared" si="20"/>
        <v>008</v>
      </c>
      <c r="G241" s="7" t="str">
        <f>"29"</f>
        <v>29</v>
      </c>
      <c r="H241" s="7">
        <v>65.2</v>
      </c>
    </row>
    <row r="242" ht="22.95" customHeight="1" spans="1:8">
      <c r="A242" s="6">
        <v>240</v>
      </c>
      <c r="B242" s="7" t="str">
        <f t="shared" si="18"/>
        <v>01</v>
      </c>
      <c r="C242" s="7" t="str">
        <f>"毛洁清"</f>
        <v>毛洁清</v>
      </c>
      <c r="D242" s="7" t="str">
        <f>"女"</f>
        <v>女</v>
      </c>
      <c r="E242" s="7" t="str">
        <f>"22020100830"</f>
        <v>22020100830</v>
      </c>
      <c r="F242" s="7" t="str">
        <f t="shared" si="20"/>
        <v>008</v>
      </c>
      <c r="G242" s="7" t="str">
        <f>"30"</f>
        <v>30</v>
      </c>
      <c r="H242" s="7">
        <v>65.9</v>
      </c>
    </row>
    <row r="243" ht="22.95" customHeight="1" spans="1:8">
      <c r="A243" s="6">
        <v>241</v>
      </c>
      <c r="B243" s="7" t="str">
        <f t="shared" si="18"/>
        <v>01</v>
      </c>
      <c r="C243" s="7" t="str">
        <f>"徐艳"</f>
        <v>徐艳</v>
      </c>
      <c r="D243" s="7" t="str">
        <f>"男"</f>
        <v>男</v>
      </c>
      <c r="E243" s="7" t="str">
        <f>"22020100901"</f>
        <v>22020100901</v>
      </c>
      <c r="F243" s="7" t="str">
        <f t="shared" ref="F243:F272" si="22">"009"</f>
        <v>009</v>
      </c>
      <c r="G243" s="7" t="str">
        <f>"01"</f>
        <v>01</v>
      </c>
      <c r="H243" s="7">
        <v>66.1</v>
      </c>
    </row>
    <row r="244" ht="22.95" customHeight="1" spans="1:8">
      <c r="A244" s="6">
        <v>242</v>
      </c>
      <c r="B244" s="7" t="str">
        <f t="shared" si="18"/>
        <v>01</v>
      </c>
      <c r="C244" s="7" t="str">
        <f>"刘海燕"</f>
        <v>刘海燕</v>
      </c>
      <c r="D244" s="7" t="str">
        <f>"男"</f>
        <v>男</v>
      </c>
      <c r="E244" s="7" t="str">
        <f>"22020100902"</f>
        <v>22020100902</v>
      </c>
      <c r="F244" s="7" t="str">
        <f t="shared" si="22"/>
        <v>009</v>
      </c>
      <c r="G244" s="7" t="str">
        <f>"02"</f>
        <v>02</v>
      </c>
      <c r="H244" s="7">
        <v>77.8</v>
      </c>
    </row>
    <row r="245" ht="22.95" customHeight="1" spans="1:8">
      <c r="A245" s="6">
        <v>243</v>
      </c>
      <c r="B245" s="7" t="str">
        <f t="shared" si="18"/>
        <v>01</v>
      </c>
      <c r="C245" s="7" t="str">
        <f>"牛佳"</f>
        <v>牛佳</v>
      </c>
      <c r="D245" s="7" t="str">
        <f>"女"</f>
        <v>女</v>
      </c>
      <c r="E245" s="7" t="str">
        <f>"22020100903"</f>
        <v>22020100903</v>
      </c>
      <c r="F245" s="7" t="str">
        <f t="shared" si="22"/>
        <v>009</v>
      </c>
      <c r="G245" s="7" t="str">
        <f>"03"</f>
        <v>03</v>
      </c>
      <c r="H245" s="7">
        <v>67.8</v>
      </c>
    </row>
    <row r="246" ht="22.95" customHeight="1" spans="1:8">
      <c r="A246" s="6">
        <v>244</v>
      </c>
      <c r="B246" s="7" t="str">
        <f t="shared" si="18"/>
        <v>01</v>
      </c>
      <c r="C246" s="7" t="str">
        <f>"樊乐健"</f>
        <v>樊乐健</v>
      </c>
      <c r="D246" s="7" t="str">
        <f>"男"</f>
        <v>男</v>
      </c>
      <c r="E246" s="7" t="str">
        <f>"22020100904"</f>
        <v>22020100904</v>
      </c>
      <c r="F246" s="7" t="str">
        <f t="shared" si="22"/>
        <v>009</v>
      </c>
      <c r="G246" s="7" t="str">
        <f>"04"</f>
        <v>04</v>
      </c>
      <c r="H246" s="7">
        <v>75.6</v>
      </c>
    </row>
    <row r="247" ht="22.95" customHeight="1" spans="1:8">
      <c r="A247" s="6">
        <v>245</v>
      </c>
      <c r="B247" s="7" t="str">
        <f t="shared" si="18"/>
        <v>01</v>
      </c>
      <c r="C247" s="7" t="str">
        <f>"王伟伟"</f>
        <v>王伟伟</v>
      </c>
      <c r="D247" s="7" t="str">
        <f>"男"</f>
        <v>男</v>
      </c>
      <c r="E247" s="7" t="str">
        <f>"22020100905"</f>
        <v>22020100905</v>
      </c>
      <c r="F247" s="7" t="str">
        <f t="shared" si="22"/>
        <v>009</v>
      </c>
      <c r="G247" s="7" t="str">
        <f>"05"</f>
        <v>05</v>
      </c>
      <c r="H247" s="7">
        <v>66.9</v>
      </c>
    </row>
    <row r="248" ht="22.95" customHeight="1" spans="1:8">
      <c r="A248" s="6">
        <v>246</v>
      </c>
      <c r="B248" s="7" t="str">
        <f t="shared" si="18"/>
        <v>01</v>
      </c>
      <c r="C248" s="7" t="str">
        <f>"张旭"</f>
        <v>张旭</v>
      </c>
      <c r="D248" s="7" t="str">
        <f>"男"</f>
        <v>男</v>
      </c>
      <c r="E248" s="7" t="str">
        <f>"22020100906"</f>
        <v>22020100906</v>
      </c>
      <c r="F248" s="7" t="str">
        <f t="shared" si="22"/>
        <v>009</v>
      </c>
      <c r="G248" s="7" t="str">
        <f>"06"</f>
        <v>06</v>
      </c>
      <c r="H248" s="7">
        <v>52.4</v>
      </c>
    </row>
    <row r="249" ht="22.95" customHeight="1" spans="1:8">
      <c r="A249" s="6">
        <v>247</v>
      </c>
      <c r="B249" s="7" t="str">
        <f t="shared" si="18"/>
        <v>01</v>
      </c>
      <c r="C249" s="7" t="str">
        <f>"逯煜洋"</f>
        <v>逯煜洋</v>
      </c>
      <c r="D249" s="7" t="str">
        <f>"女"</f>
        <v>女</v>
      </c>
      <c r="E249" s="7" t="str">
        <f>"22020100907"</f>
        <v>22020100907</v>
      </c>
      <c r="F249" s="7" t="str">
        <f t="shared" si="22"/>
        <v>009</v>
      </c>
      <c r="G249" s="7" t="str">
        <f>"07"</f>
        <v>07</v>
      </c>
      <c r="H249" s="7">
        <v>82.3</v>
      </c>
    </row>
    <row r="250" ht="22.95" customHeight="1" spans="1:8">
      <c r="A250" s="6">
        <v>248</v>
      </c>
      <c r="B250" s="7" t="str">
        <f t="shared" si="18"/>
        <v>01</v>
      </c>
      <c r="C250" s="7" t="str">
        <f>"张金珠"</f>
        <v>张金珠</v>
      </c>
      <c r="D250" s="7" t="str">
        <f t="shared" ref="D250:D256" si="23">"男"</f>
        <v>男</v>
      </c>
      <c r="E250" s="7" t="str">
        <f>"22020100908"</f>
        <v>22020100908</v>
      </c>
      <c r="F250" s="7" t="str">
        <f t="shared" si="22"/>
        <v>009</v>
      </c>
      <c r="G250" s="7" t="str">
        <f>"08"</f>
        <v>08</v>
      </c>
      <c r="H250" s="7">
        <v>62</v>
      </c>
    </row>
    <row r="251" ht="22.95" customHeight="1" spans="1:8">
      <c r="A251" s="6">
        <v>249</v>
      </c>
      <c r="B251" s="7" t="str">
        <f t="shared" si="18"/>
        <v>01</v>
      </c>
      <c r="C251" s="7" t="str">
        <f>"胡洋"</f>
        <v>胡洋</v>
      </c>
      <c r="D251" s="7" t="str">
        <f t="shared" si="23"/>
        <v>男</v>
      </c>
      <c r="E251" s="7" t="str">
        <f>"22020100909"</f>
        <v>22020100909</v>
      </c>
      <c r="F251" s="7" t="str">
        <f t="shared" si="22"/>
        <v>009</v>
      </c>
      <c r="G251" s="7" t="str">
        <f>"09"</f>
        <v>09</v>
      </c>
      <c r="H251" s="7">
        <v>67</v>
      </c>
    </row>
    <row r="252" ht="22.95" customHeight="1" spans="1:8">
      <c r="A252" s="6">
        <v>250</v>
      </c>
      <c r="B252" s="7" t="str">
        <f t="shared" si="18"/>
        <v>01</v>
      </c>
      <c r="C252" s="7" t="str">
        <f>"尹钊"</f>
        <v>尹钊</v>
      </c>
      <c r="D252" s="7" t="str">
        <f t="shared" si="23"/>
        <v>男</v>
      </c>
      <c r="E252" s="7" t="str">
        <f>"22020100910"</f>
        <v>22020100910</v>
      </c>
      <c r="F252" s="7" t="str">
        <f t="shared" si="22"/>
        <v>009</v>
      </c>
      <c r="G252" s="7" t="str">
        <f>"10"</f>
        <v>10</v>
      </c>
      <c r="H252" s="7">
        <v>51.7</v>
      </c>
    </row>
    <row r="253" ht="22.95" customHeight="1" spans="1:8">
      <c r="A253" s="6">
        <v>251</v>
      </c>
      <c r="B253" s="7" t="str">
        <f t="shared" si="18"/>
        <v>01</v>
      </c>
      <c r="C253" s="7" t="str">
        <f>"黄暕"</f>
        <v>黄暕</v>
      </c>
      <c r="D253" s="7" t="str">
        <f t="shared" si="23"/>
        <v>男</v>
      </c>
      <c r="E253" s="7" t="str">
        <f>"22020100911"</f>
        <v>22020100911</v>
      </c>
      <c r="F253" s="7" t="str">
        <f t="shared" si="22"/>
        <v>009</v>
      </c>
      <c r="G253" s="7" t="str">
        <f>"11"</f>
        <v>11</v>
      </c>
      <c r="H253" s="7">
        <v>68.3</v>
      </c>
    </row>
    <row r="254" ht="22.95" customHeight="1" spans="1:8">
      <c r="A254" s="6">
        <v>252</v>
      </c>
      <c r="B254" s="7" t="str">
        <f t="shared" si="18"/>
        <v>01</v>
      </c>
      <c r="C254" s="7" t="str">
        <f>"张俊楠"</f>
        <v>张俊楠</v>
      </c>
      <c r="D254" s="7" t="str">
        <f t="shared" si="23"/>
        <v>男</v>
      </c>
      <c r="E254" s="7" t="str">
        <f>"22020100912"</f>
        <v>22020100912</v>
      </c>
      <c r="F254" s="7" t="str">
        <f t="shared" si="22"/>
        <v>009</v>
      </c>
      <c r="G254" s="7" t="str">
        <f>"12"</f>
        <v>12</v>
      </c>
      <c r="H254" s="7">
        <v>68.4</v>
      </c>
    </row>
    <row r="255" ht="22.95" customHeight="1" spans="1:8">
      <c r="A255" s="6">
        <v>253</v>
      </c>
      <c r="B255" s="7" t="str">
        <f t="shared" si="18"/>
        <v>01</v>
      </c>
      <c r="C255" s="7" t="str">
        <f>"尹朴尧"</f>
        <v>尹朴尧</v>
      </c>
      <c r="D255" s="7" t="str">
        <f t="shared" si="23"/>
        <v>男</v>
      </c>
      <c r="E255" s="7" t="str">
        <f>"22020100913"</f>
        <v>22020100913</v>
      </c>
      <c r="F255" s="7" t="str">
        <f t="shared" si="22"/>
        <v>009</v>
      </c>
      <c r="G255" s="7" t="str">
        <f>"13"</f>
        <v>13</v>
      </c>
      <c r="H255" s="7">
        <v>72.5</v>
      </c>
    </row>
    <row r="256" ht="22.95" customHeight="1" spans="1:8">
      <c r="A256" s="6">
        <v>254</v>
      </c>
      <c r="B256" s="7" t="str">
        <f t="shared" si="18"/>
        <v>01</v>
      </c>
      <c r="C256" s="7" t="str">
        <f>"张宁"</f>
        <v>张宁</v>
      </c>
      <c r="D256" s="7" t="str">
        <f t="shared" si="23"/>
        <v>男</v>
      </c>
      <c r="E256" s="7" t="str">
        <f>"22020100914"</f>
        <v>22020100914</v>
      </c>
      <c r="F256" s="7" t="str">
        <f t="shared" si="22"/>
        <v>009</v>
      </c>
      <c r="G256" s="7" t="str">
        <f>"14"</f>
        <v>14</v>
      </c>
      <c r="H256" s="7">
        <v>74.7</v>
      </c>
    </row>
    <row r="257" ht="22.95" customHeight="1" spans="1:8">
      <c r="A257" s="6">
        <v>255</v>
      </c>
      <c r="B257" s="7" t="str">
        <f t="shared" si="18"/>
        <v>01</v>
      </c>
      <c r="C257" s="7" t="str">
        <f>"张菲"</f>
        <v>张菲</v>
      </c>
      <c r="D257" s="7" t="str">
        <f>"女"</f>
        <v>女</v>
      </c>
      <c r="E257" s="7" t="str">
        <f>"22020100915"</f>
        <v>22020100915</v>
      </c>
      <c r="F257" s="7" t="str">
        <f t="shared" si="22"/>
        <v>009</v>
      </c>
      <c r="G257" s="7" t="str">
        <f>"15"</f>
        <v>15</v>
      </c>
      <c r="H257" s="7">
        <v>67.8</v>
      </c>
    </row>
    <row r="258" ht="22.95" customHeight="1" spans="1:8">
      <c r="A258" s="6">
        <v>256</v>
      </c>
      <c r="B258" s="7" t="str">
        <f t="shared" si="18"/>
        <v>01</v>
      </c>
      <c r="C258" s="7" t="str">
        <f>"杨盟"</f>
        <v>杨盟</v>
      </c>
      <c r="D258" s="7" t="str">
        <f t="shared" ref="D258:D264" si="24">"男"</f>
        <v>男</v>
      </c>
      <c r="E258" s="7" t="str">
        <f>"22020100916"</f>
        <v>22020100916</v>
      </c>
      <c r="F258" s="7" t="str">
        <f t="shared" si="22"/>
        <v>009</v>
      </c>
      <c r="G258" s="7" t="str">
        <f>"16"</f>
        <v>16</v>
      </c>
      <c r="H258" s="7">
        <v>60.7</v>
      </c>
    </row>
    <row r="259" ht="22.95" customHeight="1" spans="1:8">
      <c r="A259" s="6">
        <v>257</v>
      </c>
      <c r="B259" s="7" t="str">
        <f t="shared" ref="B259:B322" si="25">"01"</f>
        <v>01</v>
      </c>
      <c r="C259" s="7" t="str">
        <f>"朱旭升"</f>
        <v>朱旭升</v>
      </c>
      <c r="D259" s="7" t="str">
        <f t="shared" si="24"/>
        <v>男</v>
      </c>
      <c r="E259" s="7" t="str">
        <f>"22020100917"</f>
        <v>22020100917</v>
      </c>
      <c r="F259" s="7" t="str">
        <f t="shared" si="22"/>
        <v>009</v>
      </c>
      <c r="G259" s="7" t="str">
        <f>"17"</f>
        <v>17</v>
      </c>
      <c r="H259" s="7">
        <v>67.2</v>
      </c>
    </row>
    <row r="260" ht="22.95" customHeight="1" spans="1:8">
      <c r="A260" s="6">
        <v>258</v>
      </c>
      <c r="B260" s="7" t="str">
        <f t="shared" si="25"/>
        <v>01</v>
      </c>
      <c r="C260" s="7" t="str">
        <f>"宋程达"</f>
        <v>宋程达</v>
      </c>
      <c r="D260" s="7" t="str">
        <f t="shared" si="24"/>
        <v>男</v>
      </c>
      <c r="E260" s="7" t="str">
        <f>"22020100918"</f>
        <v>22020100918</v>
      </c>
      <c r="F260" s="7" t="str">
        <f t="shared" si="22"/>
        <v>009</v>
      </c>
      <c r="G260" s="7" t="str">
        <f>"18"</f>
        <v>18</v>
      </c>
      <c r="H260" s="7">
        <v>56.9</v>
      </c>
    </row>
    <row r="261" ht="22.95" customHeight="1" spans="1:8">
      <c r="A261" s="6">
        <v>259</v>
      </c>
      <c r="B261" s="7" t="str">
        <f t="shared" si="25"/>
        <v>01</v>
      </c>
      <c r="C261" s="7" t="str">
        <f>"郭金金"</f>
        <v>郭金金</v>
      </c>
      <c r="D261" s="7" t="str">
        <f t="shared" si="24"/>
        <v>男</v>
      </c>
      <c r="E261" s="7" t="str">
        <f>"22020100919"</f>
        <v>22020100919</v>
      </c>
      <c r="F261" s="7" t="str">
        <f t="shared" si="22"/>
        <v>009</v>
      </c>
      <c r="G261" s="7" t="str">
        <f>"19"</f>
        <v>19</v>
      </c>
      <c r="H261" s="7">
        <v>58.2</v>
      </c>
    </row>
    <row r="262" ht="22.95" customHeight="1" spans="1:8">
      <c r="A262" s="6">
        <v>260</v>
      </c>
      <c r="B262" s="7" t="str">
        <f t="shared" si="25"/>
        <v>01</v>
      </c>
      <c r="C262" s="7" t="str">
        <f>"包焱"</f>
        <v>包焱</v>
      </c>
      <c r="D262" s="7" t="str">
        <f t="shared" si="24"/>
        <v>男</v>
      </c>
      <c r="E262" s="7" t="str">
        <f>"22020100920"</f>
        <v>22020100920</v>
      </c>
      <c r="F262" s="7" t="str">
        <f t="shared" si="22"/>
        <v>009</v>
      </c>
      <c r="G262" s="7" t="str">
        <f>"20"</f>
        <v>20</v>
      </c>
      <c r="H262" s="7" t="s">
        <v>9</v>
      </c>
    </row>
    <row r="263" ht="22.95" customHeight="1" spans="1:8">
      <c r="A263" s="6">
        <v>261</v>
      </c>
      <c r="B263" s="7" t="str">
        <f t="shared" si="25"/>
        <v>01</v>
      </c>
      <c r="C263" s="7" t="str">
        <f>"张森"</f>
        <v>张森</v>
      </c>
      <c r="D263" s="7" t="str">
        <f t="shared" si="24"/>
        <v>男</v>
      </c>
      <c r="E263" s="7" t="str">
        <f>"22020100921"</f>
        <v>22020100921</v>
      </c>
      <c r="F263" s="7" t="str">
        <f t="shared" si="22"/>
        <v>009</v>
      </c>
      <c r="G263" s="7" t="str">
        <f>"21"</f>
        <v>21</v>
      </c>
      <c r="H263" s="7" t="s">
        <v>9</v>
      </c>
    </row>
    <row r="264" ht="22.95" customHeight="1" spans="1:8">
      <c r="A264" s="6">
        <v>262</v>
      </c>
      <c r="B264" s="7" t="str">
        <f t="shared" si="25"/>
        <v>01</v>
      </c>
      <c r="C264" s="7" t="str">
        <f>"仝京"</f>
        <v>仝京</v>
      </c>
      <c r="D264" s="7" t="str">
        <f t="shared" si="24"/>
        <v>男</v>
      </c>
      <c r="E264" s="7" t="str">
        <f>"22020100922"</f>
        <v>22020100922</v>
      </c>
      <c r="F264" s="7" t="str">
        <f t="shared" si="22"/>
        <v>009</v>
      </c>
      <c r="G264" s="7" t="str">
        <f>"22"</f>
        <v>22</v>
      </c>
      <c r="H264" s="7">
        <v>65.9</v>
      </c>
    </row>
    <row r="265" ht="22.95" customHeight="1" spans="1:8">
      <c r="A265" s="6">
        <v>263</v>
      </c>
      <c r="B265" s="7" t="str">
        <f t="shared" si="25"/>
        <v>01</v>
      </c>
      <c r="C265" s="7" t="str">
        <f>"张悦"</f>
        <v>张悦</v>
      </c>
      <c r="D265" s="7" t="str">
        <f>"女"</f>
        <v>女</v>
      </c>
      <c r="E265" s="7" t="str">
        <f>"22020100923"</f>
        <v>22020100923</v>
      </c>
      <c r="F265" s="7" t="str">
        <f t="shared" si="22"/>
        <v>009</v>
      </c>
      <c r="G265" s="7" t="str">
        <f>"23"</f>
        <v>23</v>
      </c>
      <c r="H265" s="7">
        <v>49.2</v>
      </c>
    </row>
    <row r="266" ht="22.95" customHeight="1" spans="1:8">
      <c r="A266" s="6">
        <v>264</v>
      </c>
      <c r="B266" s="7" t="str">
        <f t="shared" si="25"/>
        <v>01</v>
      </c>
      <c r="C266" s="7" t="str">
        <f>"牛超民"</f>
        <v>牛超民</v>
      </c>
      <c r="D266" s="7" t="str">
        <f t="shared" ref="D266:D271" si="26">"男"</f>
        <v>男</v>
      </c>
      <c r="E266" s="7" t="str">
        <f>"22020100924"</f>
        <v>22020100924</v>
      </c>
      <c r="F266" s="7" t="str">
        <f t="shared" si="22"/>
        <v>009</v>
      </c>
      <c r="G266" s="7" t="str">
        <f>"24"</f>
        <v>24</v>
      </c>
      <c r="H266" s="7">
        <v>59</v>
      </c>
    </row>
    <row r="267" ht="22.95" customHeight="1" spans="1:8">
      <c r="A267" s="6">
        <v>265</v>
      </c>
      <c r="B267" s="7" t="str">
        <f t="shared" si="25"/>
        <v>01</v>
      </c>
      <c r="C267" s="7" t="str">
        <f>"黄营"</f>
        <v>黄营</v>
      </c>
      <c r="D267" s="7" t="str">
        <f t="shared" si="26"/>
        <v>男</v>
      </c>
      <c r="E267" s="7" t="str">
        <f>"22020100925"</f>
        <v>22020100925</v>
      </c>
      <c r="F267" s="7" t="str">
        <f t="shared" si="22"/>
        <v>009</v>
      </c>
      <c r="G267" s="7" t="str">
        <f>"25"</f>
        <v>25</v>
      </c>
      <c r="H267" s="7">
        <v>75</v>
      </c>
    </row>
    <row r="268" ht="22.95" customHeight="1" spans="1:8">
      <c r="A268" s="6">
        <v>266</v>
      </c>
      <c r="B268" s="7" t="str">
        <f t="shared" si="25"/>
        <v>01</v>
      </c>
      <c r="C268" s="7" t="str">
        <f>"李航"</f>
        <v>李航</v>
      </c>
      <c r="D268" s="7" t="str">
        <f t="shared" si="26"/>
        <v>男</v>
      </c>
      <c r="E268" s="7" t="str">
        <f>"22020100926"</f>
        <v>22020100926</v>
      </c>
      <c r="F268" s="7" t="str">
        <f t="shared" si="22"/>
        <v>009</v>
      </c>
      <c r="G268" s="7" t="str">
        <f>"26"</f>
        <v>26</v>
      </c>
      <c r="H268" s="7">
        <v>78.3</v>
      </c>
    </row>
    <row r="269" ht="22.95" customHeight="1" spans="1:8">
      <c r="A269" s="6">
        <v>267</v>
      </c>
      <c r="B269" s="7" t="str">
        <f t="shared" si="25"/>
        <v>01</v>
      </c>
      <c r="C269" s="7" t="str">
        <f>"成功明"</f>
        <v>成功明</v>
      </c>
      <c r="D269" s="7" t="str">
        <f t="shared" si="26"/>
        <v>男</v>
      </c>
      <c r="E269" s="7" t="str">
        <f>"22020100927"</f>
        <v>22020100927</v>
      </c>
      <c r="F269" s="7" t="str">
        <f t="shared" si="22"/>
        <v>009</v>
      </c>
      <c r="G269" s="7" t="str">
        <f>"27"</f>
        <v>27</v>
      </c>
      <c r="H269" s="7">
        <v>75.1</v>
      </c>
    </row>
    <row r="270" ht="22.95" customHeight="1" spans="1:8">
      <c r="A270" s="6">
        <v>268</v>
      </c>
      <c r="B270" s="7" t="str">
        <f t="shared" si="25"/>
        <v>01</v>
      </c>
      <c r="C270" s="7" t="str">
        <f>"刘晓"</f>
        <v>刘晓</v>
      </c>
      <c r="D270" s="7" t="str">
        <f t="shared" si="26"/>
        <v>男</v>
      </c>
      <c r="E270" s="7" t="str">
        <f>"22020100928"</f>
        <v>22020100928</v>
      </c>
      <c r="F270" s="7" t="str">
        <f t="shared" si="22"/>
        <v>009</v>
      </c>
      <c r="G270" s="7" t="str">
        <f>"28"</f>
        <v>28</v>
      </c>
      <c r="H270" s="7">
        <v>61.7</v>
      </c>
    </row>
    <row r="271" ht="22.95" customHeight="1" spans="1:8">
      <c r="A271" s="6">
        <v>269</v>
      </c>
      <c r="B271" s="7" t="str">
        <f t="shared" si="25"/>
        <v>01</v>
      </c>
      <c r="C271" s="7" t="str">
        <f>"徐建本"</f>
        <v>徐建本</v>
      </c>
      <c r="D271" s="7" t="str">
        <f t="shared" si="26"/>
        <v>男</v>
      </c>
      <c r="E271" s="7" t="str">
        <f>"22020100929"</f>
        <v>22020100929</v>
      </c>
      <c r="F271" s="7" t="str">
        <f t="shared" si="22"/>
        <v>009</v>
      </c>
      <c r="G271" s="7" t="str">
        <f>"29"</f>
        <v>29</v>
      </c>
      <c r="H271" s="7">
        <v>70.5</v>
      </c>
    </row>
    <row r="272" ht="22.95" customHeight="1" spans="1:8">
      <c r="A272" s="6">
        <v>270</v>
      </c>
      <c r="B272" s="7" t="str">
        <f t="shared" si="25"/>
        <v>01</v>
      </c>
      <c r="C272" s="7" t="str">
        <f>"苏阳"</f>
        <v>苏阳</v>
      </c>
      <c r="D272" s="7" t="str">
        <f>"女"</f>
        <v>女</v>
      </c>
      <c r="E272" s="7" t="str">
        <f>"22020100930"</f>
        <v>22020100930</v>
      </c>
      <c r="F272" s="7" t="str">
        <f t="shared" si="22"/>
        <v>009</v>
      </c>
      <c r="G272" s="7" t="str">
        <f>"30"</f>
        <v>30</v>
      </c>
      <c r="H272" s="7">
        <v>54.5</v>
      </c>
    </row>
    <row r="273" ht="22.95" customHeight="1" spans="1:8">
      <c r="A273" s="6">
        <v>271</v>
      </c>
      <c r="B273" s="7" t="str">
        <f t="shared" si="25"/>
        <v>01</v>
      </c>
      <c r="C273" s="7" t="str">
        <f>"杨萍"</f>
        <v>杨萍</v>
      </c>
      <c r="D273" s="7" t="str">
        <f>"女"</f>
        <v>女</v>
      </c>
      <c r="E273" s="7" t="str">
        <f>"22020101001"</f>
        <v>22020101001</v>
      </c>
      <c r="F273" s="7" t="str">
        <f t="shared" ref="F273:F307" si="27">"010"</f>
        <v>010</v>
      </c>
      <c r="G273" s="7" t="str">
        <f>"01"</f>
        <v>01</v>
      </c>
      <c r="H273" s="7">
        <v>63.5</v>
      </c>
    </row>
    <row r="274" ht="22.95" customHeight="1" spans="1:8">
      <c r="A274" s="6">
        <v>272</v>
      </c>
      <c r="B274" s="7" t="str">
        <f t="shared" si="25"/>
        <v>01</v>
      </c>
      <c r="C274" s="7" t="str">
        <f>"郝帅帅"</f>
        <v>郝帅帅</v>
      </c>
      <c r="D274" s="7" t="str">
        <f>"女"</f>
        <v>女</v>
      </c>
      <c r="E274" s="7" t="str">
        <f>"22020101002"</f>
        <v>22020101002</v>
      </c>
      <c r="F274" s="7" t="str">
        <f t="shared" si="27"/>
        <v>010</v>
      </c>
      <c r="G274" s="7" t="str">
        <f>"02"</f>
        <v>02</v>
      </c>
      <c r="H274" s="7">
        <v>77.1</v>
      </c>
    </row>
    <row r="275" ht="22.95" customHeight="1" spans="1:8">
      <c r="A275" s="6">
        <v>273</v>
      </c>
      <c r="B275" s="7" t="str">
        <f t="shared" si="25"/>
        <v>01</v>
      </c>
      <c r="C275" s="7" t="str">
        <f>"王莹"</f>
        <v>王莹</v>
      </c>
      <c r="D275" s="7" t="str">
        <f>"女"</f>
        <v>女</v>
      </c>
      <c r="E275" s="7" t="str">
        <f>"22020101003"</f>
        <v>22020101003</v>
      </c>
      <c r="F275" s="7" t="str">
        <f t="shared" si="27"/>
        <v>010</v>
      </c>
      <c r="G275" s="7" t="str">
        <f>"03"</f>
        <v>03</v>
      </c>
      <c r="H275" s="7">
        <v>70.7</v>
      </c>
    </row>
    <row r="276" ht="22.95" customHeight="1" spans="1:8">
      <c r="A276" s="6">
        <v>274</v>
      </c>
      <c r="B276" s="7" t="str">
        <f t="shared" si="25"/>
        <v>01</v>
      </c>
      <c r="C276" s="7" t="str">
        <f>"刘洋"</f>
        <v>刘洋</v>
      </c>
      <c r="D276" s="7" t="str">
        <f t="shared" ref="D276:D284" si="28">"男"</f>
        <v>男</v>
      </c>
      <c r="E276" s="7" t="str">
        <f>"22020101004"</f>
        <v>22020101004</v>
      </c>
      <c r="F276" s="7" t="str">
        <f t="shared" si="27"/>
        <v>010</v>
      </c>
      <c r="G276" s="7" t="str">
        <f>"04"</f>
        <v>04</v>
      </c>
      <c r="H276" s="7">
        <v>44.5</v>
      </c>
    </row>
    <row r="277" ht="22.95" customHeight="1" spans="1:8">
      <c r="A277" s="6">
        <v>275</v>
      </c>
      <c r="B277" s="7" t="str">
        <f t="shared" si="25"/>
        <v>01</v>
      </c>
      <c r="C277" s="7" t="str">
        <f>"党东东"</f>
        <v>党东东</v>
      </c>
      <c r="D277" s="7" t="str">
        <f t="shared" si="28"/>
        <v>男</v>
      </c>
      <c r="E277" s="7" t="str">
        <f>"22020101005"</f>
        <v>22020101005</v>
      </c>
      <c r="F277" s="7" t="str">
        <f t="shared" si="27"/>
        <v>010</v>
      </c>
      <c r="G277" s="7" t="str">
        <f>"05"</f>
        <v>05</v>
      </c>
      <c r="H277" s="7">
        <v>48.2</v>
      </c>
    </row>
    <row r="278" ht="22.95" customHeight="1" spans="1:8">
      <c r="A278" s="6">
        <v>276</v>
      </c>
      <c r="B278" s="7" t="str">
        <f t="shared" si="25"/>
        <v>01</v>
      </c>
      <c r="C278" s="7" t="str">
        <f>"刘金超"</f>
        <v>刘金超</v>
      </c>
      <c r="D278" s="7" t="str">
        <f t="shared" si="28"/>
        <v>男</v>
      </c>
      <c r="E278" s="7" t="str">
        <f>"22020101006"</f>
        <v>22020101006</v>
      </c>
      <c r="F278" s="7" t="str">
        <f t="shared" si="27"/>
        <v>010</v>
      </c>
      <c r="G278" s="7" t="str">
        <f>"06"</f>
        <v>06</v>
      </c>
      <c r="H278" s="7" t="s">
        <v>9</v>
      </c>
    </row>
    <row r="279" ht="22.95" customHeight="1" spans="1:8">
      <c r="A279" s="6">
        <v>277</v>
      </c>
      <c r="B279" s="7" t="str">
        <f t="shared" si="25"/>
        <v>01</v>
      </c>
      <c r="C279" s="7" t="str">
        <f>"上官紫东"</f>
        <v>上官紫东</v>
      </c>
      <c r="D279" s="7" t="str">
        <f t="shared" si="28"/>
        <v>男</v>
      </c>
      <c r="E279" s="7" t="str">
        <f>"22020101007"</f>
        <v>22020101007</v>
      </c>
      <c r="F279" s="7" t="str">
        <f t="shared" si="27"/>
        <v>010</v>
      </c>
      <c r="G279" s="7" t="str">
        <f>"07"</f>
        <v>07</v>
      </c>
      <c r="H279" s="7">
        <v>68.3</v>
      </c>
    </row>
    <row r="280" ht="22.95" customHeight="1" spans="1:8">
      <c r="A280" s="6">
        <v>278</v>
      </c>
      <c r="B280" s="7" t="str">
        <f t="shared" si="25"/>
        <v>01</v>
      </c>
      <c r="C280" s="7" t="str">
        <f>"刘征"</f>
        <v>刘征</v>
      </c>
      <c r="D280" s="7" t="str">
        <f t="shared" si="28"/>
        <v>男</v>
      </c>
      <c r="E280" s="7" t="str">
        <f>"22020101008"</f>
        <v>22020101008</v>
      </c>
      <c r="F280" s="7" t="str">
        <f t="shared" si="27"/>
        <v>010</v>
      </c>
      <c r="G280" s="7" t="str">
        <f>"08"</f>
        <v>08</v>
      </c>
      <c r="H280" s="7">
        <v>60.5</v>
      </c>
    </row>
    <row r="281" ht="22.95" customHeight="1" spans="1:8">
      <c r="A281" s="6">
        <v>279</v>
      </c>
      <c r="B281" s="7" t="str">
        <f t="shared" si="25"/>
        <v>01</v>
      </c>
      <c r="C281" s="7" t="str">
        <f>"王粟"</f>
        <v>王粟</v>
      </c>
      <c r="D281" s="7" t="str">
        <f t="shared" si="28"/>
        <v>男</v>
      </c>
      <c r="E281" s="7" t="str">
        <f>"22020101009"</f>
        <v>22020101009</v>
      </c>
      <c r="F281" s="7" t="str">
        <f t="shared" si="27"/>
        <v>010</v>
      </c>
      <c r="G281" s="7" t="str">
        <f>"09"</f>
        <v>09</v>
      </c>
      <c r="H281" s="7">
        <v>70.6</v>
      </c>
    </row>
    <row r="282" ht="22.95" customHeight="1" spans="1:8">
      <c r="A282" s="6">
        <v>280</v>
      </c>
      <c r="B282" s="7" t="str">
        <f t="shared" si="25"/>
        <v>01</v>
      </c>
      <c r="C282" s="7" t="str">
        <f>"李新功"</f>
        <v>李新功</v>
      </c>
      <c r="D282" s="7" t="str">
        <f t="shared" si="28"/>
        <v>男</v>
      </c>
      <c r="E282" s="7" t="str">
        <f>"22020101010"</f>
        <v>22020101010</v>
      </c>
      <c r="F282" s="7" t="str">
        <f t="shared" si="27"/>
        <v>010</v>
      </c>
      <c r="G282" s="7" t="str">
        <f>"10"</f>
        <v>10</v>
      </c>
      <c r="H282" s="7">
        <v>72.7</v>
      </c>
    </row>
    <row r="283" ht="22.95" customHeight="1" spans="1:8">
      <c r="A283" s="6">
        <v>281</v>
      </c>
      <c r="B283" s="7" t="str">
        <f t="shared" si="25"/>
        <v>01</v>
      </c>
      <c r="C283" s="7" t="str">
        <f>"杨大威"</f>
        <v>杨大威</v>
      </c>
      <c r="D283" s="7" t="str">
        <f t="shared" si="28"/>
        <v>男</v>
      </c>
      <c r="E283" s="7" t="str">
        <f>"22020101011"</f>
        <v>22020101011</v>
      </c>
      <c r="F283" s="7" t="str">
        <f t="shared" si="27"/>
        <v>010</v>
      </c>
      <c r="G283" s="7" t="str">
        <f>"11"</f>
        <v>11</v>
      </c>
      <c r="H283" s="7">
        <v>67.2</v>
      </c>
    </row>
    <row r="284" ht="22.95" customHeight="1" spans="1:8">
      <c r="A284" s="6">
        <v>282</v>
      </c>
      <c r="B284" s="7" t="str">
        <f t="shared" si="25"/>
        <v>01</v>
      </c>
      <c r="C284" s="7" t="str">
        <f>"仝军"</f>
        <v>仝军</v>
      </c>
      <c r="D284" s="7" t="str">
        <f t="shared" si="28"/>
        <v>男</v>
      </c>
      <c r="E284" s="7" t="str">
        <f>"22020101012"</f>
        <v>22020101012</v>
      </c>
      <c r="F284" s="7" t="str">
        <f t="shared" si="27"/>
        <v>010</v>
      </c>
      <c r="G284" s="7" t="str">
        <f>"12"</f>
        <v>12</v>
      </c>
      <c r="H284" s="7">
        <v>66.1</v>
      </c>
    </row>
    <row r="285" ht="22.95" customHeight="1" spans="1:8">
      <c r="A285" s="6">
        <v>283</v>
      </c>
      <c r="B285" s="7" t="str">
        <f t="shared" si="25"/>
        <v>01</v>
      </c>
      <c r="C285" s="7" t="str">
        <f>"曾路路"</f>
        <v>曾路路</v>
      </c>
      <c r="D285" s="7" t="str">
        <f>"女"</f>
        <v>女</v>
      </c>
      <c r="E285" s="7" t="str">
        <f>"22020101013"</f>
        <v>22020101013</v>
      </c>
      <c r="F285" s="7" t="str">
        <f t="shared" si="27"/>
        <v>010</v>
      </c>
      <c r="G285" s="7" t="str">
        <f>"13"</f>
        <v>13</v>
      </c>
      <c r="H285" s="7">
        <v>77</v>
      </c>
    </row>
    <row r="286" ht="22.95" customHeight="1" spans="1:8">
      <c r="A286" s="6">
        <v>284</v>
      </c>
      <c r="B286" s="7" t="str">
        <f t="shared" si="25"/>
        <v>01</v>
      </c>
      <c r="C286" s="7" t="str">
        <f>"段辉"</f>
        <v>段辉</v>
      </c>
      <c r="D286" s="7" t="str">
        <f>"男"</f>
        <v>男</v>
      </c>
      <c r="E286" s="7" t="str">
        <f>"22020101014"</f>
        <v>22020101014</v>
      </c>
      <c r="F286" s="7" t="str">
        <f t="shared" si="27"/>
        <v>010</v>
      </c>
      <c r="G286" s="7" t="str">
        <f>"14"</f>
        <v>14</v>
      </c>
      <c r="H286" s="7">
        <v>59.1</v>
      </c>
    </row>
    <row r="287" ht="22.95" customHeight="1" spans="1:8">
      <c r="A287" s="6">
        <v>285</v>
      </c>
      <c r="B287" s="7" t="str">
        <f t="shared" si="25"/>
        <v>01</v>
      </c>
      <c r="C287" s="7" t="str">
        <f>"李笋"</f>
        <v>李笋</v>
      </c>
      <c r="D287" s="7" t="str">
        <f>"女"</f>
        <v>女</v>
      </c>
      <c r="E287" s="7" t="str">
        <f>"22020101015"</f>
        <v>22020101015</v>
      </c>
      <c r="F287" s="7" t="str">
        <f t="shared" si="27"/>
        <v>010</v>
      </c>
      <c r="G287" s="7" t="str">
        <f>"15"</f>
        <v>15</v>
      </c>
      <c r="H287" s="7">
        <v>67.7</v>
      </c>
    </row>
    <row r="288" ht="22.95" customHeight="1" spans="1:8">
      <c r="A288" s="6">
        <v>286</v>
      </c>
      <c r="B288" s="7" t="str">
        <f t="shared" si="25"/>
        <v>01</v>
      </c>
      <c r="C288" s="7" t="str">
        <f>"杨梅"</f>
        <v>杨梅</v>
      </c>
      <c r="D288" s="7" t="str">
        <f>"女"</f>
        <v>女</v>
      </c>
      <c r="E288" s="7" t="str">
        <f>"22020101016"</f>
        <v>22020101016</v>
      </c>
      <c r="F288" s="7" t="str">
        <f t="shared" si="27"/>
        <v>010</v>
      </c>
      <c r="G288" s="7" t="str">
        <f>"16"</f>
        <v>16</v>
      </c>
      <c r="H288" s="7">
        <v>55.4</v>
      </c>
    </row>
    <row r="289" ht="22.95" customHeight="1" spans="1:8">
      <c r="A289" s="6">
        <v>287</v>
      </c>
      <c r="B289" s="7" t="str">
        <f t="shared" si="25"/>
        <v>01</v>
      </c>
      <c r="C289" s="7" t="str">
        <f>"刘建当"</f>
        <v>刘建当</v>
      </c>
      <c r="D289" s="7" t="str">
        <f>"男"</f>
        <v>男</v>
      </c>
      <c r="E289" s="7" t="str">
        <f>"22020101017"</f>
        <v>22020101017</v>
      </c>
      <c r="F289" s="7" t="str">
        <f t="shared" si="27"/>
        <v>010</v>
      </c>
      <c r="G289" s="7" t="str">
        <f>"17"</f>
        <v>17</v>
      </c>
      <c r="H289" s="7" t="s">
        <v>9</v>
      </c>
    </row>
    <row r="290" ht="22.95" customHeight="1" spans="1:8">
      <c r="A290" s="6">
        <v>288</v>
      </c>
      <c r="B290" s="7" t="str">
        <f t="shared" si="25"/>
        <v>01</v>
      </c>
      <c r="C290" s="7" t="str">
        <f>"杜巍"</f>
        <v>杜巍</v>
      </c>
      <c r="D290" s="7" t="str">
        <f>"男"</f>
        <v>男</v>
      </c>
      <c r="E290" s="7" t="str">
        <f>"22020101018"</f>
        <v>22020101018</v>
      </c>
      <c r="F290" s="7" t="str">
        <f t="shared" si="27"/>
        <v>010</v>
      </c>
      <c r="G290" s="7" t="str">
        <f>"18"</f>
        <v>18</v>
      </c>
      <c r="H290" s="7">
        <v>71.3</v>
      </c>
    </row>
    <row r="291" ht="22.95" customHeight="1" spans="1:8">
      <c r="A291" s="6">
        <v>289</v>
      </c>
      <c r="B291" s="7" t="str">
        <f t="shared" si="25"/>
        <v>01</v>
      </c>
      <c r="C291" s="7" t="str">
        <f>"付松坡"</f>
        <v>付松坡</v>
      </c>
      <c r="D291" s="7" t="str">
        <f>"男"</f>
        <v>男</v>
      </c>
      <c r="E291" s="7" t="str">
        <f>"22020101019"</f>
        <v>22020101019</v>
      </c>
      <c r="F291" s="7" t="str">
        <f t="shared" si="27"/>
        <v>010</v>
      </c>
      <c r="G291" s="7" t="str">
        <f>"19"</f>
        <v>19</v>
      </c>
      <c r="H291" s="7">
        <v>64</v>
      </c>
    </row>
    <row r="292" ht="22.95" customHeight="1" spans="1:8">
      <c r="A292" s="6">
        <v>290</v>
      </c>
      <c r="B292" s="7" t="str">
        <f t="shared" si="25"/>
        <v>01</v>
      </c>
      <c r="C292" s="7" t="str">
        <f>"李闪"</f>
        <v>李闪</v>
      </c>
      <c r="D292" s="7" t="str">
        <f>"女"</f>
        <v>女</v>
      </c>
      <c r="E292" s="7" t="str">
        <f>"22020101020"</f>
        <v>22020101020</v>
      </c>
      <c r="F292" s="7" t="str">
        <f t="shared" si="27"/>
        <v>010</v>
      </c>
      <c r="G292" s="7" t="str">
        <f>"20"</f>
        <v>20</v>
      </c>
      <c r="H292" s="7">
        <v>70.5</v>
      </c>
    </row>
    <row r="293" ht="22.95" customHeight="1" spans="1:8">
      <c r="A293" s="6">
        <v>291</v>
      </c>
      <c r="B293" s="7" t="str">
        <f t="shared" si="25"/>
        <v>01</v>
      </c>
      <c r="C293" s="7" t="str">
        <f>"孙博"</f>
        <v>孙博</v>
      </c>
      <c r="D293" s="7" t="str">
        <f>"男"</f>
        <v>男</v>
      </c>
      <c r="E293" s="7" t="str">
        <f>"22020101021"</f>
        <v>22020101021</v>
      </c>
      <c r="F293" s="7" t="str">
        <f t="shared" si="27"/>
        <v>010</v>
      </c>
      <c r="G293" s="7" t="str">
        <f>"21"</f>
        <v>21</v>
      </c>
      <c r="H293" s="7">
        <v>56.7</v>
      </c>
    </row>
    <row r="294" ht="22.95" customHeight="1" spans="1:8">
      <c r="A294" s="6">
        <v>292</v>
      </c>
      <c r="B294" s="7" t="str">
        <f t="shared" si="25"/>
        <v>01</v>
      </c>
      <c r="C294" s="7" t="str">
        <f>"郑燕"</f>
        <v>郑燕</v>
      </c>
      <c r="D294" s="7" t="str">
        <f>"女"</f>
        <v>女</v>
      </c>
      <c r="E294" s="7" t="str">
        <f>"22020101022"</f>
        <v>22020101022</v>
      </c>
      <c r="F294" s="7" t="str">
        <f t="shared" si="27"/>
        <v>010</v>
      </c>
      <c r="G294" s="7" t="str">
        <f>"22"</f>
        <v>22</v>
      </c>
      <c r="H294" s="7" t="s">
        <v>9</v>
      </c>
    </row>
    <row r="295" ht="22.95" customHeight="1" spans="1:8">
      <c r="A295" s="6">
        <v>293</v>
      </c>
      <c r="B295" s="7" t="str">
        <f t="shared" si="25"/>
        <v>01</v>
      </c>
      <c r="C295" s="7" t="str">
        <f>"李亚辉"</f>
        <v>李亚辉</v>
      </c>
      <c r="D295" s="7" t="str">
        <f>"女"</f>
        <v>女</v>
      </c>
      <c r="E295" s="7" t="str">
        <f>"22020101023"</f>
        <v>22020101023</v>
      </c>
      <c r="F295" s="7" t="str">
        <f t="shared" si="27"/>
        <v>010</v>
      </c>
      <c r="G295" s="7" t="str">
        <f>"23"</f>
        <v>23</v>
      </c>
      <c r="H295" s="7">
        <v>62.6</v>
      </c>
    </row>
    <row r="296" ht="22.95" customHeight="1" spans="1:8">
      <c r="A296" s="6">
        <v>294</v>
      </c>
      <c r="B296" s="7" t="str">
        <f t="shared" si="25"/>
        <v>01</v>
      </c>
      <c r="C296" s="7" t="str">
        <f>"贾新怀"</f>
        <v>贾新怀</v>
      </c>
      <c r="D296" s="7" t="str">
        <f>"男"</f>
        <v>男</v>
      </c>
      <c r="E296" s="7" t="str">
        <f>"22020101024"</f>
        <v>22020101024</v>
      </c>
      <c r="F296" s="7" t="str">
        <f t="shared" si="27"/>
        <v>010</v>
      </c>
      <c r="G296" s="7" t="str">
        <f>"24"</f>
        <v>24</v>
      </c>
      <c r="H296" s="7" t="s">
        <v>9</v>
      </c>
    </row>
    <row r="297" ht="22.95" customHeight="1" spans="1:8">
      <c r="A297" s="6">
        <v>295</v>
      </c>
      <c r="B297" s="7" t="str">
        <f t="shared" si="25"/>
        <v>01</v>
      </c>
      <c r="C297" s="7" t="str">
        <f>"黄聪"</f>
        <v>黄聪</v>
      </c>
      <c r="D297" s="7" t="str">
        <f>"女"</f>
        <v>女</v>
      </c>
      <c r="E297" s="7" t="str">
        <f>"22020101025"</f>
        <v>22020101025</v>
      </c>
      <c r="F297" s="7" t="str">
        <f t="shared" si="27"/>
        <v>010</v>
      </c>
      <c r="G297" s="7" t="str">
        <f>"25"</f>
        <v>25</v>
      </c>
      <c r="H297" s="7" t="s">
        <v>9</v>
      </c>
    </row>
    <row r="298" ht="22.95" customHeight="1" spans="1:8">
      <c r="A298" s="6">
        <v>296</v>
      </c>
      <c r="B298" s="7" t="str">
        <f t="shared" si="25"/>
        <v>01</v>
      </c>
      <c r="C298" s="7" t="str">
        <f>"王卓"</f>
        <v>王卓</v>
      </c>
      <c r="D298" s="7" t="str">
        <f t="shared" ref="D298:D303" si="29">"男"</f>
        <v>男</v>
      </c>
      <c r="E298" s="7" t="str">
        <f>"22020101026"</f>
        <v>22020101026</v>
      </c>
      <c r="F298" s="7" t="str">
        <f t="shared" si="27"/>
        <v>010</v>
      </c>
      <c r="G298" s="7" t="str">
        <f>"26"</f>
        <v>26</v>
      </c>
      <c r="H298" s="7">
        <v>77.8</v>
      </c>
    </row>
    <row r="299" ht="22.95" customHeight="1" spans="1:8">
      <c r="A299" s="6">
        <v>297</v>
      </c>
      <c r="B299" s="7" t="str">
        <f t="shared" si="25"/>
        <v>01</v>
      </c>
      <c r="C299" s="7" t="str">
        <f>"杨涛"</f>
        <v>杨涛</v>
      </c>
      <c r="D299" s="7" t="str">
        <f t="shared" si="29"/>
        <v>男</v>
      </c>
      <c r="E299" s="7" t="str">
        <f>"22020101027"</f>
        <v>22020101027</v>
      </c>
      <c r="F299" s="7" t="str">
        <f t="shared" si="27"/>
        <v>010</v>
      </c>
      <c r="G299" s="7" t="str">
        <f>"27"</f>
        <v>27</v>
      </c>
      <c r="H299" s="7">
        <v>49.4</v>
      </c>
    </row>
    <row r="300" ht="22.95" customHeight="1" spans="1:8">
      <c r="A300" s="6">
        <v>298</v>
      </c>
      <c r="B300" s="7" t="str">
        <f t="shared" si="25"/>
        <v>01</v>
      </c>
      <c r="C300" s="7" t="str">
        <f>"剧晓"</f>
        <v>剧晓</v>
      </c>
      <c r="D300" s="7" t="str">
        <f t="shared" si="29"/>
        <v>男</v>
      </c>
      <c r="E300" s="7" t="str">
        <f>"22020101028"</f>
        <v>22020101028</v>
      </c>
      <c r="F300" s="7" t="str">
        <f t="shared" si="27"/>
        <v>010</v>
      </c>
      <c r="G300" s="7" t="str">
        <f>"28"</f>
        <v>28</v>
      </c>
      <c r="H300" s="7" t="s">
        <v>9</v>
      </c>
    </row>
    <row r="301" ht="22.95" customHeight="1" spans="1:8">
      <c r="A301" s="6">
        <v>299</v>
      </c>
      <c r="B301" s="7" t="str">
        <f t="shared" si="25"/>
        <v>01</v>
      </c>
      <c r="C301" s="7" t="str">
        <f>"宗崇"</f>
        <v>宗崇</v>
      </c>
      <c r="D301" s="7" t="str">
        <f t="shared" si="29"/>
        <v>男</v>
      </c>
      <c r="E301" s="7" t="str">
        <f>"22020101029"</f>
        <v>22020101029</v>
      </c>
      <c r="F301" s="7" t="str">
        <f t="shared" si="27"/>
        <v>010</v>
      </c>
      <c r="G301" s="7" t="str">
        <f>"29"</f>
        <v>29</v>
      </c>
      <c r="H301" s="7">
        <v>64</v>
      </c>
    </row>
    <row r="302" ht="22.95" customHeight="1" spans="1:8">
      <c r="A302" s="6">
        <v>300</v>
      </c>
      <c r="B302" s="7" t="str">
        <f t="shared" si="25"/>
        <v>01</v>
      </c>
      <c r="C302" s="7" t="str">
        <f>"常保磊"</f>
        <v>常保磊</v>
      </c>
      <c r="D302" s="7" t="str">
        <f t="shared" si="29"/>
        <v>男</v>
      </c>
      <c r="E302" s="7" t="str">
        <f>"22020101030"</f>
        <v>22020101030</v>
      </c>
      <c r="F302" s="7" t="str">
        <f t="shared" si="27"/>
        <v>010</v>
      </c>
      <c r="G302" s="7" t="str">
        <f>"30"</f>
        <v>30</v>
      </c>
      <c r="H302" s="7" t="s">
        <v>9</v>
      </c>
    </row>
    <row r="303" ht="22.95" customHeight="1" spans="1:8">
      <c r="A303" s="6">
        <v>301</v>
      </c>
      <c r="B303" s="7" t="str">
        <f t="shared" si="25"/>
        <v>01</v>
      </c>
      <c r="C303" s="7" t="str">
        <f>"张峰"</f>
        <v>张峰</v>
      </c>
      <c r="D303" s="7" t="str">
        <f t="shared" si="29"/>
        <v>男</v>
      </c>
      <c r="E303" s="7" t="str">
        <f>"22020101031"</f>
        <v>22020101031</v>
      </c>
      <c r="F303" s="7" t="str">
        <f t="shared" si="27"/>
        <v>010</v>
      </c>
      <c r="G303" s="7" t="str">
        <f>"31"</f>
        <v>31</v>
      </c>
      <c r="H303" s="7">
        <v>65.2</v>
      </c>
    </row>
    <row r="304" ht="22.95" customHeight="1" spans="1:8">
      <c r="A304" s="6">
        <v>302</v>
      </c>
      <c r="B304" s="7" t="str">
        <f t="shared" si="25"/>
        <v>01</v>
      </c>
      <c r="C304" s="7" t="str">
        <f>"郭阳"</f>
        <v>郭阳</v>
      </c>
      <c r="D304" s="7" t="str">
        <f>"女"</f>
        <v>女</v>
      </c>
      <c r="E304" s="7" t="str">
        <f>"22020101032"</f>
        <v>22020101032</v>
      </c>
      <c r="F304" s="7" t="str">
        <f t="shared" si="27"/>
        <v>010</v>
      </c>
      <c r="G304" s="7" t="str">
        <f>"32"</f>
        <v>32</v>
      </c>
      <c r="H304" s="7">
        <v>61.5</v>
      </c>
    </row>
    <row r="305" ht="22.95" customHeight="1" spans="1:8">
      <c r="A305" s="6">
        <v>303</v>
      </c>
      <c r="B305" s="7" t="str">
        <f t="shared" si="25"/>
        <v>01</v>
      </c>
      <c r="C305" s="7" t="str">
        <f>"杜水"</f>
        <v>杜水</v>
      </c>
      <c r="D305" s="7" t="str">
        <f>"男"</f>
        <v>男</v>
      </c>
      <c r="E305" s="7" t="str">
        <f>"22020101033"</f>
        <v>22020101033</v>
      </c>
      <c r="F305" s="7" t="str">
        <f t="shared" si="27"/>
        <v>010</v>
      </c>
      <c r="G305" s="7" t="str">
        <f>"33"</f>
        <v>33</v>
      </c>
      <c r="H305" s="7">
        <v>65</v>
      </c>
    </row>
    <row r="306" ht="22.95" customHeight="1" spans="1:8">
      <c r="A306" s="6">
        <v>304</v>
      </c>
      <c r="B306" s="7" t="str">
        <f t="shared" si="25"/>
        <v>01</v>
      </c>
      <c r="C306" s="7" t="str">
        <f>"李永康"</f>
        <v>李永康</v>
      </c>
      <c r="D306" s="7" t="str">
        <f>"男"</f>
        <v>男</v>
      </c>
      <c r="E306" s="7" t="str">
        <f>"22020101034"</f>
        <v>22020101034</v>
      </c>
      <c r="F306" s="7" t="str">
        <f t="shared" si="27"/>
        <v>010</v>
      </c>
      <c r="G306" s="7" t="str">
        <f>"34"</f>
        <v>34</v>
      </c>
      <c r="H306" s="7">
        <v>69.7</v>
      </c>
    </row>
    <row r="307" ht="22.95" customHeight="1" spans="1:8">
      <c r="A307" s="6">
        <v>305</v>
      </c>
      <c r="B307" s="7" t="str">
        <f t="shared" si="25"/>
        <v>01</v>
      </c>
      <c r="C307" s="7" t="str">
        <f>"王洪"</f>
        <v>王洪</v>
      </c>
      <c r="D307" s="7" t="str">
        <f>"男"</f>
        <v>男</v>
      </c>
      <c r="E307" s="7" t="str">
        <f>"22020101035"</f>
        <v>22020101035</v>
      </c>
      <c r="F307" s="7" t="str">
        <f t="shared" si="27"/>
        <v>010</v>
      </c>
      <c r="G307" s="7" t="str">
        <f>"35"</f>
        <v>35</v>
      </c>
      <c r="H307" s="7">
        <v>60.9</v>
      </c>
    </row>
    <row r="308" ht="22.95" customHeight="1" spans="1:8">
      <c r="A308" s="6">
        <v>306</v>
      </c>
      <c r="B308" s="7" t="str">
        <f t="shared" si="25"/>
        <v>01</v>
      </c>
      <c r="C308" s="7" t="str">
        <f>"赵玲"</f>
        <v>赵玲</v>
      </c>
      <c r="D308" s="7" t="str">
        <f>"女"</f>
        <v>女</v>
      </c>
      <c r="E308" s="7" t="str">
        <f>"22020101101"</f>
        <v>22020101101</v>
      </c>
      <c r="F308" s="7" t="str">
        <f t="shared" ref="F308:F341" si="30">"011"</f>
        <v>011</v>
      </c>
      <c r="G308" s="7" t="str">
        <f>"01"</f>
        <v>01</v>
      </c>
      <c r="H308" s="7">
        <v>60.9</v>
      </c>
    </row>
    <row r="309" ht="22.95" customHeight="1" spans="1:8">
      <c r="A309" s="6">
        <v>307</v>
      </c>
      <c r="B309" s="7" t="str">
        <f t="shared" si="25"/>
        <v>01</v>
      </c>
      <c r="C309" s="7" t="str">
        <f>"李海虎"</f>
        <v>李海虎</v>
      </c>
      <c r="D309" s="7" t="str">
        <f>"男"</f>
        <v>男</v>
      </c>
      <c r="E309" s="7" t="str">
        <f>"22020101102"</f>
        <v>22020101102</v>
      </c>
      <c r="F309" s="7" t="str">
        <f t="shared" si="30"/>
        <v>011</v>
      </c>
      <c r="G309" s="7" t="str">
        <f>"02"</f>
        <v>02</v>
      </c>
      <c r="H309" s="7" t="s">
        <v>9</v>
      </c>
    </row>
    <row r="310" ht="22.95" customHeight="1" spans="1:8">
      <c r="A310" s="6">
        <v>308</v>
      </c>
      <c r="B310" s="7" t="str">
        <f t="shared" si="25"/>
        <v>01</v>
      </c>
      <c r="C310" s="7" t="str">
        <f>"牛彬"</f>
        <v>牛彬</v>
      </c>
      <c r="D310" s="7" t="str">
        <f>"男"</f>
        <v>男</v>
      </c>
      <c r="E310" s="7" t="str">
        <f>"22020101103"</f>
        <v>22020101103</v>
      </c>
      <c r="F310" s="7" t="str">
        <f t="shared" si="30"/>
        <v>011</v>
      </c>
      <c r="G310" s="7" t="str">
        <f>"03"</f>
        <v>03</v>
      </c>
      <c r="H310" s="7">
        <v>50.3</v>
      </c>
    </row>
    <row r="311" ht="22.95" customHeight="1" spans="1:8">
      <c r="A311" s="6">
        <v>309</v>
      </c>
      <c r="B311" s="7" t="str">
        <f t="shared" si="25"/>
        <v>01</v>
      </c>
      <c r="C311" s="7" t="str">
        <f>"肖海振"</f>
        <v>肖海振</v>
      </c>
      <c r="D311" s="7" t="str">
        <f>"男"</f>
        <v>男</v>
      </c>
      <c r="E311" s="7" t="str">
        <f>"22020101104"</f>
        <v>22020101104</v>
      </c>
      <c r="F311" s="7" t="str">
        <f t="shared" si="30"/>
        <v>011</v>
      </c>
      <c r="G311" s="7" t="str">
        <f>"04"</f>
        <v>04</v>
      </c>
      <c r="H311" s="7">
        <v>56.5</v>
      </c>
    </row>
    <row r="312" ht="22.95" customHeight="1" spans="1:8">
      <c r="A312" s="6">
        <v>310</v>
      </c>
      <c r="B312" s="7" t="str">
        <f t="shared" si="25"/>
        <v>01</v>
      </c>
      <c r="C312" s="7" t="str">
        <f>"王武彬"</f>
        <v>王武彬</v>
      </c>
      <c r="D312" s="7" t="str">
        <f>"男"</f>
        <v>男</v>
      </c>
      <c r="E312" s="7" t="str">
        <f>"22020101105"</f>
        <v>22020101105</v>
      </c>
      <c r="F312" s="7" t="str">
        <f t="shared" si="30"/>
        <v>011</v>
      </c>
      <c r="G312" s="7" t="str">
        <f>"05"</f>
        <v>05</v>
      </c>
      <c r="H312" s="7">
        <v>42.3</v>
      </c>
    </row>
    <row r="313" ht="22.95" customHeight="1" spans="1:8">
      <c r="A313" s="6">
        <v>311</v>
      </c>
      <c r="B313" s="7" t="str">
        <f t="shared" si="25"/>
        <v>01</v>
      </c>
      <c r="C313" s="7" t="str">
        <f>"叶枫"</f>
        <v>叶枫</v>
      </c>
      <c r="D313" s="7" t="str">
        <f>"男"</f>
        <v>男</v>
      </c>
      <c r="E313" s="7" t="str">
        <f>"22020101106"</f>
        <v>22020101106</v>
      </c>
      <c r="F313" s="7" t="str">
        <f t="shared" si="30"/>
        <v>011</v>
      </c>
      <c r="G313" s="7" t="str">
        <f>"06"</f>
        <v>06</v>
      </c>
      <c r="H313" s="7">
        <v>62.7</v>
      </c>
    </row>
    <row r="314" ht="22.95" customHeight="1" spans="1:8">
      <c r="A314" s="6">
        <v>312</v>
      </c>
      <c r="B314" s="7" t="str">
        <f t="shared" si="25"/>
        <v>01</v>
      </c>
      <c r="C314" s="7" t="str">
        <f>"乔慧"</f>
        <v>乔慧</v>
      </c>
      <c r="D314" s="7" t="str">
        <f>"女"</f>
        <v>女</v>
      </c>
      <c r="E314" s="7" t="str">
        <f>"22020101107"</f>
        <v>22020101107</v>
      </c>
      <c r="F314" s="7" t="str">
        <f t="shared" si="30"/>
        <v>011</v>
      </c>
      <c r="G314" s="7" t="str">
        <f>"07"</f>
        <v>07</v>
      </c>
      <c r="H314" s="7">
        <v>66.4</v>
      </c>
    </row>
    <row r="315" ht="22.95" customHeight="1" spans="1:8">
      <c r="A315" s="6">
        <v>313</v>
      </c>
      <c r="B315" s="7" t="str">
        <f t="shared" si="25"/>
        <v>01</v>
      </c>
      <c r="C315" s="7" t="str">
        <f>"赵鲜"</f>
        <v>赵鲜</v>
      </c>
      <c r="D315" s="7" t="str">
        <f>"女"</f>
        <v>女</v>
      </c>
      <c r="E315" s="7" t="str">
        <f>"22020101108"</f>
        <v>22020101108</v>
      </c>
      <c r="F315" s="7" t="str">
        <f t="shared" si="30"/>
        <v>011</v>
      </c>
      <c r="G315" s="7" t="str">
        <f>"08"</f>
        <v>08</v>
      </c>
      <c r="H315" s="7">
        <v>66</v>
      </c>
    </row>
    <row r="316" ht="22.95" customHeight="1" spans="1:8">
      <c r="A316" s="6">
        <v>314</v>
      </c>
      <c r="B316" s="7" t="str">
        <f t="shared" si="25"/>
        <v>01</v>
      </c>
      <c r="C316" s="7" t="str">
        <f>"张向"</f>
        <v>张向</v>
      </c>
      <c r="D316" s="7" t="str">
        <f>"女"</f>
        <v>女</v>
      </c>
      <c r="E316" s="7" t="str">
        <f>"22020101109"</f>
        <v>22020101109</v>
      </c>
      <c r="F316" s="7" t="str">
        <f t="shared" si="30"/>
        <v>011</v>
      </c>
      <c r="G316" s="7" t="str">
        <f>"09"</f>
        <v>09</v>
      </c>
      <c r="H316" s="7">
        <v>70.1</v>
      </c>
    </row>
    <row r="317" ht="22.95" customHeight="1" spans="1:8">
      <c r="A317" s="6">
        <v>315</v>
      </c>
      <c r="B317" s="7" t="str">
        <f t="shared" si="25"/>
        <v>01</v>
      </c>
      <c r="C317" s="7" t="str">
        <f>"乔寅豪"</f>
        <v>乔寅豪</v>
      </c>
      <c r="D317" s="7" t="str">
        <f t="shared" ref="D317:D328" si="31">"男"</f>
        <v>男</v>
      </c>
      <c r="E317" s="7" t="str">
        <f>"22020101110"</f>
        <v>22020101110</v>
      </c>
      <c r="F317" s="7" t="str">
        <f t="shared" si="30"/>
        <v>011</v>
      </c>
      <c r="G317" s="7" t="str">
        <f>"10"</f>
        <v>10</v>
      </c>
      <c r="H317" s="7">
        <v>60.3</v>
      </c>
    </row>
    <row r="318" ht="22.95" customHeight="1" spans="1:8">
      <c r="A318" s="6">
        <v>316</v>
      </c>
      <c r="B318" s="7" t="str">
        <f t="shared" si="25"/>
        <v>01</v>
      </c>
      <c r="C318" s="7" t="str">
        <f>"曲帅"</f>
        <v>曲帅</v>
      </c>
      <c r="D318" s="7" t="str">
        <f t="shared" si="31"/>
        <v>男</v>
      </c>
      <c r="E318" s="7" t="str">
        <f>"22020101111"</f>
        <v>22020101111</v>
      </c>
      <c r="F318" s="7" t="str">
        <f t="shared" si="30"/>
        <v>011</v>
      </c>
      <c r="G318" s="7" t="str">
        <f>"11"</f>
        <v>11</v>
      </c>
      <c r="H318" s="7">
        <v>57.4</v>
      </c>
    </row>
    <row r="319" ht="22.95" customHeight="1" spans="1:8">
      <c r="A319" s="6">
        <v>317</v>
      </c>
      <c r="B319" s="7" t="str">
        <f t="shared" si="25"/>
        <v>01</v>
      </c>
      <c r="C319" s="7" t="str">
        <f>"段红坊"</f>
        <v>段红坊</v>
      </c>
      <c r="D319" s="7" t="str">
        <f t="shared" si="31"/>
        <v>男</v>
      </c>
      <c r="E319" s="7" t="str">
        <f>"22020101112"</f>
        <v>22020101112</v>
      </c>
      <c r="F319" s="7" t="str">
        <f t="shared" si="30"/>
        <v>011</v>
      </c>
      <c r="G319" s="7" t="str">
        <f>"12"</f>
        <v>12</v>
      </c>
      <c r="H319" s="7">
        <v>65.5</v>
      </c>
    </row>
    <row r="320" ht="22.95" customHeight="1" spans="1:8">
      <c r="A320" s="6">
        <v>318</v>
      </c>
      <c r="B320" s="7" t="str">
        <f t="shared" si="25"/>
        <v>01</v>
      </c>
      <c r="C320" s="7" t="str">
        <f>"马召阳"</f>
        <v>马召阳</v>
      </c>
      <c r="D320" s="7" t="str">
        <f t="shared" si="31"/>
        <v>男</v>
      </c>
      <c r="E320" s="7" t="str">
        <f>"22020101113"</f>
        <v>22020101113</v>
      </c>
      <c r="F320" s="7" t="str">
        <f t="shared" si="30"/>
        <v>011</v>
      </c>
      <c r="G320" s="7" t="str">
        <f>"13"</f>
        <v>13</v>
      </c>
      <c r="H320" s="7">
        <v>54.3</v>
      </c>
    </row>
    <row r="321" ht="22.95" customHeight="1" spans="1:8">
      <c r="A321" s="6">
        <v>319</v>
      </c>
      <c r="B321" s="7" t="str">
        <f t="shared" si="25"/>
        <v>01</v>
      </c>
      <c r="C321" s="7" t="str">
        <f>"杨云龙"</f>
        <v>杨云龙</v>
      </c>
      <c r="D321" s="7" t="str">
        <f t="shared" si="31"/>
        <v>男</v>
      </c>
      <c r="E321" s="7" t="str">
        <f>"22020101114"</f>
        <v>22020101114</v>
      </c>
      <c r="F321" s="7" t="str">
        <f t="shared" si="30"/>
        <v>011</v>
      </c>
      <c r="G321" s="7" t="str">
        <f>"14"</f>
        <v>14</v>
      </c>
      <c r="H321" s="7" t="s">
        <v>9</v>
      </c>
    </row>
    <row r="322" ht="22.95" customHeight="1" spans="1:8">
      <c r="A322" s="6">
        <v>320</v>
      </c>
      <c r="B322" s="7" t="str">
        <f t="shared" si="25"/>
        <v>01</v>
      </c>
      <c r="C322" s="7" t="str">
        <f>"权威"</f>
        <v>权威</v>
      </c>
      <c r="D322" s="7" t="str">
        <f t="shared" si="31"/>
        <v>男</v>
      </c>
      <c r="E322" s="7" t="str">
        <f>"22020101115"</f>
        <v>22020101115</v>
      </c>
      <c r="F322" s="7" t="str">
        <f t="shared" si="30"/>
        <v>011</v>
      </c>
      <c r="G322" s="7" t="str">
        <f>"15"</f>
        <v>15</v>
      </c>
      <c r="H322" s="7">
        <v>60.5</v>
      </c>
    </row>
    <row r="323" ht="22.95" customHeight="1" spans="1:8">
      <c r="A323" s="6">
        <v>321</v>
      </c>
      <c r="B323" s="7" t="str">
        <f t="shared" ref="B323:B341" si="32">"01"</f>
        <v>01</v>
      </c>
      <c r="C323" s="7" t="str">
        <f>"白雪森"</f>
        <v>白雪森</v>
      </c>
      <c r="D323" s="7" t="str">
        <f t="shared" si="31"/>
        <v>男</v>
      </c>
      <c r="E323" s="7" t="str">
        <f>"22020101116"</f>
        <v>22020101116</v>
      </c>
      <c r="F323" s="7" t="str">
        <f t="shared" si="30"/>
        <v>011</v>
      </c>
      <c r="G323" s="7" t="str">
        <f>"16"</f>
        <v>16</v>
      </c>
      <c r="H323" s="7">
        <v>72.2</v>
      </c>
    </row>
    <row r="324" ht="22.95" customHeight="1" spans="1:8">
      <c r="A324" s="6">
        <v>322</v>
      </c>
      <c r="B324" s="7" t="str">
        <f t="shared" si="32"/>
        <v>01</v>
      </c>
      <c r="C324" s="7" t="str">
        <f>"刘芳钟"</f>
        <v>刘芳钟</v>
      </c>
      <c r="D324" s="7" t="str">
        <f t="shared" si="31"/>
        <v>男</v>
      </c>
      <c r="E324" s="7" t="str">
        <f>"22020101117"</f>
        <v>22020101117</v>
      </c>
      <c r="F324" s="7" t="str">
        <f t="shared" si="30"/>
        <v>011</v>
      </c>
      <c r="G324" s="7" t="str">
        <f>"17"</f>
        <v>17</v>
      </c>
      <c r="H324" s="7">
        <v>68.2</v>
      </c>
    </row>
    <row r="325" ht="22.95" customHeight="1" spans="1:8">
      <c r="A325" s="6">
        <v>323</v>
      </c>
      <c r="B325" s="7" t="str">
        <f t="shared" si="32"/>
        <v>01</v>
      </c>
      <c r="C325" s="7" t="str">
        <f>"白囝"</f>
        <v>白囝</v>
      </c>
      <c r="D325" s="7" t="str">
        <f t="shared" si="31"/>
        <v>男</v>
      </c>
      <c r="E325" s="7" t="str">
        <f>"22020101118"</f>
        <v>22020101118</v>
      </c>
      <c r="F325" s="7" t="str">
        <f t="shared" si="30"/>
        <v>011</v>
      </c>
      <c r="G325" s="7" t="str">
        <f>"18"</f>
        <v>18</v>
      </c>
      <c r="H325" s="7">
        <v>66.8</v>
      </c>
    </row>
    <row r="326" ht="22.95" customHeight="1" spans="1:8">
      <c r="A326" s="6">
        <v>324</v>
      </c>
      <c r="B326" s="7" t="str">
        <f t="shared" si="32"/>
        <v>01</v>
      </c>
      <c r="C326" s="7" t="str">
        <f>"何南"</f>
        <v>何南</v>
      </c>
      <c r="D326" s="7" t="str">
        <f t="shared" si="31"/>
        <v>男</v>
      </c>
      <c r="E326" s="7" t="str">
        <f>"22020101119"</f>
        <v>22020101119</v>
      </c>
      <c r="F326" s="7" t="str">
        <f t="shared" si="30"/>
        <v>011</v>
      </c>
      <c r="G326" s="7" t="str">
        <f>"19"</f>
        <v>19</v>
      </c>
      <c r="H326" s="7">
        <v>64.9</v>
      </c>
    </row>
    <row r="327" ht="22.95" customHeight="1" spans="1:8">
      <c r="A327" s="6">
        <v>325</v>
      </c>
      <c r="B327" s="7" t="str">
        <f t="shared" si="32"/>
        <v>01</v>
      </c>
      <c r="C327" s="7" t="str">
        <f>"张斌"</f>
        <v>张斌</v>
      </c>
      <c r="D327" s="7" t="str">
        <f t="shared" si="31"/>
        <v>男</v>
      </c>
      <c r="E327" s="7" t="str">
        <f>"22020101120"</f>
        <v>22020101120</v>
      </c>
      <c r="F327" s="7" t="str">
        <f t="shared" si="30"/>
        <v>011</v>
      </c>
      <c r="G327" s="7" t="str">
        <f>"20"</f>
        <v>20</v>
      </c>
      <c r="H327" s="7">
        <v>72.1</v>
      </c>
    </row>
    <row r="328" ht="22.95" customHeight="1" spans="1:8">
      <c r="A328" s="6">
        <v>326</v>
      </c>
      <c r="B328" s="7" t="str">
        <f t="shared" si="32"/>
        <v>01</v>
      </c>
      <c r="C328" s="7" t="str">
        <f>"李帅"</f>
        <v>李帅</v>
      </c>
      <c r="D328" s="7" t="str">
        <f t="shared" si="31"/>
        <v>男</v>
      </c>
      <c r="E328" s="7" t="str">
        <f>"22020101121"</f>
        <v>22020101121</v>
      </c>
      <c r="F328" s="7" t="str">
        <f t="shared" si="30"/>
        <v>011</v>
      </c>
      <c r="G328" s="7" t="str">
        <f>"21"</f>
        <v>21</v>
      </c>
      <c r="H328" s="7">
        <v>64.7</v>
      </c>
    </row>
    <row r="329" ht="22.95" customHeight="1" spans="1:8">
      <c r="A329" s="6">
        <v>327</v>
      </c>
      <c r="B329" s="7" t="str">
        <f t="shared" si="32"/>
        <v>01</v>
      </c>
      <c r="C329" s="7" t="str">
        <f>"路霏"</f>
        <v>路霏</v>
      </c>
      <c r="D329" s="7" t="str">
        <f>"女"</f>
        <v>女</v>
      </c>
      <c r="E329" s="7" t="str">
        <f>"22020101122"</f>
        <v>22020101122</v>
      </c>
      <c r="F329" s="7" t="str">
        <f t="shared" si="30"/>
        <v>011</v>
      </c>
      <c r="G329" s="7" t="str">
        <f>"22"</f>
        <v>22</v>
      </c>
      <c r="H329" s="7">
        <v>76.5</v>
      </c>
    </row>
    <row r="330" ht="22.95" customHeight="1" spans="1:8">
      <c r="A330" s="6">
        <v>328</v>
      </c>
      <c r="B330" s="7" t="str">
        <f t="shared" si="32"/>
        <v>01</v>
      </c>
      <c r="C330" s="7" t="str">
        <f>"谢丹"</f>
        <v>谢丹</v>
      </c>
      <c r="D330" s="7" t="str">
        <f t="shared" ref="D330:D335" si="33">"男"</f>
        <v>男</v>
      </c>
      <c r="E330" s="7" t="str">
        <f>"22020101123"</f>
        <v>22020101123</v>
      </c>
      <c r="F330" s="7" t="str">
        <f t="shared" si="30"/>
        <v>011</v>
      </c>
      <c r="G330" s="7" t="str">
        <f>"23"</f>
        <v>23</v>
      </c>
      <c r="H330" s="7">
        <v>60.3</v>
      </c>
    </row>
    <row r="331" ht="22.95" customHeight="1" spans="1:8">
      <c r="A331" s="6">
        <v>329</v>
      </c>
      <c r="B331" s="7" t="str">
        <f t="shared" si="32"/>
        <v>01</v>
      </c>
      <c r="C331" s="7" t="str">
        <f>"仝峰"</f>
        <v>仝峰</v>
      </c>
      <c r="D331" s="7" t="str">
        <f t="shared" si="33"/>
        <v>男</v>
      </c>
      <c r="E331" s="7" t="str">
        <f>"22020101124"</f>
        <v>22020101124</v>
      </c>
      <c r="F331" s="7" t="str">
        <f t="shared" si="30"/>
        <v>011</v>
      </c>
      <c r="G331" s="7" t="str">
        <f>"24"</f>
        <v>24</v>
      </c>
      <c r="H331" s="7">
        <v>65.5</v>
      </c>
    </row>
    <row r="332" ht="22.95" customHeight="1" spans="1:8">
      <c r="A332" s="6">
        <v>330</v>
      </c>
      <c r="B332" s="7" t="str">
        <f t="shared" si="32"/>
        <v>01</v>
      </c>
      <c r="C332" s="7" t="str">
        <f>"张旭"</f>
        <v>张旭</v>
      </c>
      <c r="D332" s="7" t="str">
        <f t="shared" si="33"/>
        <v>男</v>
      </c>
      <c r="E332" s="7" t="str">
        <f>"22020101125"</f>
        <v>22020101125</v>
      </c>
      <c r="F332" s="7" t="str">
        <f t="shared" si="30"/>
        <v>011</v>
      </c>
      <c r="G332" s="7" t="str">
        <f>"25"</f>
        <v>25</v>
      </c>
      <c r="H332" s="7">
        <v>70</v>
      </c>
    </row>
    <row r="333" ht="22.95" customHeight="1" spans="1:8">
      <c r="A333" s="6">
        <v>331</v>
      </c>
      <c r="B333" s="7" t="str">
        <f t="shared" si="32"/>
        <v>01</v>
      </c>
      <c r="C333" s="7" t="str">
        <f>"魏晓伟"</f>
        <v>魏晓伟</v>
      </c>
      <c r="D333" s="7" t="str">
        <f t="shared" si="33"/>
        <v>男</v>
      </c>
      <c r="E333" s="7" t="str">
        <f>"22020101126"</f>
        <v>22020101126</v>
      </c>
      <c r="F333" s="7" t="str">
        <f t="shared" si="30"/>
        <v>011</v>
      </c>
      <c r="G333" s="7" t="str">
        <f>"26"</f>
        <v>26</v>
      </c>
      <c r="H333" s="7">
        <v>55</v>
      </c>
    </row>
    <row r="334" ht="22.95" customHeight="1" spans="1:8">
      <c r="A334" s="6">
        <v>332</v>
      </c>
      <c r="B334" s="7" t="str">
        <f t="shared" si="32"/>
        <v>01</v>
      </c>
      <c r="C334" s="7" t="str">
        <f>"韩剑"</f>
        <v>韩剑</v>
      </c>
      <c r="D334" s="7" t="str">
        <f t="shared" si="33"/>
        <v>男</v>
      </c>
      <c r="E334" s="7" t="str">
        <f>"22020101127"</f>
        <v>22020101127</v>
      </c>
      <c r="F334" s="7" t="str">
        <f t="shared" si="30"/>
        <v>011</v>
      </c>
      <c r="G334" s="7" t="str">
        <f>"27"</f>
        <v>27</v>
      </c>
      <c r="H334" s="7">
        <v>65</v>
      </c>
    </row>
    <row r="335" ht="22.95" customHeight="1" spans="1:8">
      <c r="A335" s="6">
        <v>333</v>
      </c>
      <c r="B335" s="7" t="str">
        <f t="shared" si="32"/>
        <v>01</v>
      </c>
      <c r="C335" s="7" t="str">
        <f>"刘燚"</f>
        <v>刘燚</v>
      </c>
      <c r="D335" s="7" t="str">
        <f t="shared" si="33"/>
        <v>男</v>
      </c>
      <c r="E335" s="7" t="str">
        <f>"22020101128"</f>
        <v>22020101128</v>
      </c>
      <c r="F335" s="7" t="str">
        <f t="shared" si="30"/>
        <v>011</v>
      </c>
      <c r="G335" s="7" t="str">
        <f>"28"</f>
        <v>28</v>
      </c>
      <c r="H335" s="7">
        <v>58.2</v>
      </c>
    </row>
    <row r="336" ht="22.95" customHeight="1" spans="1:8">
      <c r="A336" s="6">
        <v>334</v>
      </c>
      <c r="B336" s="7" t="str">
        <f t="shared" si="32"/>
        <v>01</v>
      </c>
      <c r="C336" s="7" t="str">
        <f>"祝郑莉"</f>
        <v>祝郑莉</v>
      </c>
      <c r="D336" s="7" t="str">
        <f>"女"</f>
        <v>女</v>
      </c>
      <c r="E336" s="7" t="str">
        <f>"22020101129"</f>
        <v>22020101129</v>
      </c>
      <c r="F336" s="7" t="str">
        <f t="shared" si="30"/>
        <v>011</v>
      </c>
      <c r="G336" s="7" t="str">
        <f>"29"</f>
        <v>29</v>
      </c>
      <c r="H336" s="7">
        <v>68</v>
      </c>
    </row>
    <row r="337" ht="22.95" customHeight="1" spans="1:8">
      <c r="A337" s="6">
        <v>335</v>
      </c>
      <c r="B337" s="7" t="str">
        <f t="shared" si="32"/>
        <v>01</v>
      </c>
      <c r="C337" s="7" t="str">
        <f>"丁波"</f>
        <v>丁波</v>
      </c>
      <c r="D337" s="7" t="str">
        <f>"男"</f>
        <v>男</v>
      </c>
      <c r="E337" s="7" t="str">
        <f>"22020101130"</f>
        <v>22020101130</v>
      </c>
      <c r="F337" s="7" t="str">
        <f t="shared" si="30"/>
        <v>011</v>
      </c>
      <c r="G337" s="7" t="str">
        <f>"30"</f>
        <v>30</v>
      </c>
      <c r="H337" s="7">
        <v>43.7</v>
      </c>
    </row>
    <row r="338" ht="22.95" customHeight="1" spans="1:8">
      <c r="A338" s="6">
        <v>336</v>
      </c>
      <c r="B338" s="7" t="str">
        <f t="shared" si="32"/>
        <v>01</v>
      </c>
      <c r="C338" s="7" t="str">
        <f>"阚威"</f>
        <v>阚威</v>
      </c>
      <c r="D338" s="7" t="str">
        <f>"男"</f>
        <v>男</v>
      </c>
      <c r="E338" s="7" t="str">
        <f>"22020101131"</f>
        <v>22020101131</v>
      </c>
      <c r="F338" s="7" t="str">
        <f t="shared" si="30"/>
        <v>011</v>
      </c>
      <c r="G338" s="7" t="str">
        <f>"31"</f>
        <v>31</v>
      </c>
      <c r="H338" s="7">
        <v>56.4</v>
      </c>
    </row>
    <row r="339" ht="22.95" customHeight="1" spans="1:8">
      <c r="A339" s="6">
        <v>337</v>
      </c>
      <c r="B339" s="7" t="str">
        <f t="shared" si="32"/>
        <v>01</v>
      </c>
      <c r="C339" s="7" t="str">
        <f>"张晨曦"</f>
        <v>张晨曦</v>
      </c>
      <c r="D339" s="7" t="str">
        <f>"男"</f>
        <v>男</v>
      </c>
      <c r="E339" s="7" t="str">
        <f>"22020101132"</f>
        <v>22020101132</v>
      </c>
      <c r="F339" s="7" t="str">
        <f t="shared" si="30"/>
        <v>011</v>
      </c>
      <c r="G339" s="7" t="str">
        <f>"32"</f>
        <v>32</v>
      </c>
      <c r="H339" s="7">
        <v>70.1</v>
      </c>
    </row>
    <row r="340" ht="22.95" customHeight="1" spans="1:8">
      <c r="A340" s="6">
        <v>338</v>
      </c>
      <c r="B340" s="7" t="str">
        <f t="shared" si="32"/>
        <v>01</v>
      </c>
      <c r="C340" s="7" t="str">
        <f>"赵庚"</f>
        <v>赵庚</v>
      </c>
      <c r="D340" s="7" t="str">
        <f>"男"</f>
        <v>男</v>
      </c>
      <c r="E340" s="7" t="str">
        <f>"22020101133"</f>
        <v>22020101133</v>
      </c>
      <c r="F340" s="7" t="str">
        <f t="shared" si="30"/>
        <v>011</v>
      </c>
      <c r="G340" s="7" t="str">
        <f>"33"</f>
        <v>33</v>
      </c>
      <c r="H340" s="7">
        <v>68.3</v>
      </c>
    </row>
    <row r="341" ht="22.95" customHeight="1" spans="1:8">
      <c r="A341" s="6">
        <v>339</v>
      </c>
      <c r="B341" s="7" t="str">
        <f t="shared" si="32"/>
        <v>01</v>
      </c>
      <c r="C341" s="7" t="str">
        <f>"牛忠晓"</f>
        <v>牛忠晓</v>
      </c>
      <c r="D341" s="7" t="str">
        <f>"女"</f>
        <v>女</v>
      </c>
      <c r="E341" s="7" t="str">
        <f>"22020101134"</f>
        <v>22020101134</v>
      </c>
      <c r="F341" s="7" t="str">
        <f t="shared" si="30"/>
        <v>011</v>
      </c>
      <c r="G341" s="7" t="str">
        <f>"34"</f>
        <v>34</v>
      </c>
      <c r="H341" s="7">
        <v>58.2</v>
      </c>
    </row>
  </sheetData>
  <mergeCells count="1">
    <mergeCell ref="A1:H1"/>
  </mergeCells>
  <conditionalFormatting sqref="E2">
    <cfRule type="expression" dxfId="0" priority="1">
      <formula>AND(SUMPRODUCT(IFERROR(1*(($E$2&amp;"x")=(E2&amp;"x")),0))&gt;1,NOT(ISBLANK(E2)))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2022-02-19T09:43:22Z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